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mc:AlternateContent xmlns:mc="http://schemas.openxmlformats.org/markup-compatibility/2006">
    <mc:Choice Requires="x15">
      <x15ac:absPath xmlns:x15ac="http://schemas.microsoft.com/office/spreadsheetml/2010/11/ac" url="C:\Users\alirodriguez\Downloads\"/>
    </mc:Choice>
  </mc:AlternateContent>
  <xr:revisionPtr revIDLastSave="0" documentId="8_{D764F418-1FE1-4707-ABB3-1CE620AB4F2A}" xr6:coauthVersionLast="47" xr6:coauthVersionMax="47" xr10:uidLastSave="{00000000-0000-0000-0000-000000000000}"/>
  <bookViews>
    <workbookView xWindow="20370" yWindow="-120" windowWidth="29040" windowHeight="15840" activeTab="1" xr2:uid="{00000000-000D-0000-FFFF-FFFF00000000}"/>
  </bookViews>
  <sheets>
    <sheet name="Declaración de compromiso" sheetId="2" r:id="rId1"/>
    <sheet name="Plan de gestión de reducciones" sheetId="17" r:id="rId2"/>
    <sheet name="Viajes compartidos" sheetId="19" state="hidden" r:id="rId3"/>
    <sheet name="Cambio de Luminarias" sheetId="20" r:id="rId4"/>
    <sheet name="Carro golf" sheetId="21" state="hidden" r:id="rId5"/>
    <sheet name="Bicicletas" sheetId="22" state="hidden" r:id="rId6"/>
    <sheet name="Documentación de reducciones" sheetId="24" r:id="rId7"/>
  </sheets>
  <externalReferences>
    <externalReference r:id="rId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1" roundtripDataSignature="AMtx7miyWo8BMgbNtGCSL0yxs2QRppx3GQ=="/>
    </ext>
  </extLst>
</workbook>
</file>

<file path=xl/calcChain.xml><?xml version="1.0" encoding="utf-8"?>
<calcChain xmlns="http://schemas.openxmlformats.org/spreadsheetml/2006/main">
  <c r="E34" i="22" l="1"/>
  <c r="E35" i="22"/>
  <c r="E21" i="21"/>
  <c r="E29" i="21"/>
  <c r="E30" i="21"/>
  <c r="E20" i="21"/>
  <c r="E19" i="21"/>
  <c r="N8" i="20"/>
  <c r="K45" i="24"/>
  <c r="K44" i="24"/>
  <c r="C49" i="24"/>
  <c r="E41" i="22"/>
  <c r="P81" i="22"/>
  <c r="P70" i="22"/>
  <c r="E16" i="24"/>
  <c r="C16" i="24"/>
  <c r="B16" i="24"/>
  <c r="F16" i="24"/>
  <c r="I13" i="24"/>
  <c r="K11" i="24"/>
  <c r="I11" i="24"/>
  <c r="E13" i="24"/>
  <c r="J27" i="24"/>
  <c r="K62" i="24"/>
  <c r="K61" i="24"/>
  <c r="K59" i="24"/>
  <c r="K60" i="24"/>
  <c r="B103" i="24"/>
  <c r="C96" i="24"/>
  <c r="A93" i="24"/>
  <c r="A92" i="24"/>
  <c r="C91" i="24"/>
  <c r="D87" i="24"/>
  <c r="K84" i="24"/>
  <c r="K81" i="24"/>
  <c r="K83" i="24" s="1"/>
  <c r="P82" i="22" l="1"/>
  <c r="E19" i="22" s="1"/>
  <c r="K85" i="24"/>
  <c r="K86" i="24" s="1"/>
  <c r="E84" i="24" s="1"/>
  <c r="C95" i="24" s="1"/>
  <c r="L63" i="24"/>
  <c r="L65" i="24" s="1"/>
  <c r="E62" i="24" s="1"/>
  <c r="F65" i="24" s="1"/>
  <c r="C94" i="24" l="1"/>
  <c r="P24" i="17" l="1"/>
  <c r="E23" i="21" l="1"/>
  <c r="E10" i="21"/>
  <c r="AL211" i="19"/>
  <c r="AN211" i="19" s="1"/>
  <c r="AM211" i="19"/>
  <c r="E25" i="21"/>
  <c r="E15" i="21"/>
  <c r="E13" i="21"/>
  <c r="C6" i="21"/>
  <c r="E29" i="22"/>
  <c r="E24" i="22"/>
  <c r="E22" i="22"/>
  <c r="E39" i="22"/>
  <c r="C15" i="22"/>
  <c r="F14" i="22"/>
  <c r="F13" i="22"/>
  <c r="F15" i="22" s="1"/>
  <c r="F12" i="22"/>
  <c r="F11" i="22"/>
  <c r="I14" i="20"/>
  <c r="H14" i="20"/>
  <c r="J14" i="20" s="1"/>
  <c r="I13" i="20"/>
  <c r="J13" i="20" s="1"/>
  <c r="J15" i="20" s="1"/>
  <c r="H13" i="20"/>
  <c r="I10" i="20"/>
  <c r="D10" i="20"/>
  <c r="L9" i="20"/>
  <c r="M9" i="20" s="1"/>
  <c r="G9" i="20"/>
  <c r="H9" i="20" s="1"/>
  <c r="L8" i="20"/>
  <c r="M8" i="20" s="1"/>
  <c r="G8" i="20"/>
  <c r="H8" i="20" s="1"/>
  <c r="F8" i="20"/>
  <c r="AM217" i="19"/>
  <c r="AL217" i="19"/>
  <c r="AN217" i="19" s="1"/>
  <c r="AM216" i="19"/>
  <c r="AN216" i="19" s="1"/>
  <c r="AL216" i="19"/>
  <c r="AM215" i="19"/>
  <c r="AL215" i="19"/>
  <c r="AM214" i="19"/>
  <c r="AL214" i="19"/>
  <c r="AN214" i="19" s="1"/>
  <c r="AJ213" i="19"/>
  <c r="AL213" i="19" s="1"/>
  <c r="AM212" i="19"/>
  <c r="AL212" i="19"/>
  <c r="AN212" i="19" s="1"/>
  <c r="AM210" i="19"/>
  <c r="AJ209" i="19"/>
  <c r="AM209" i="19" s="1"/>
  <c r="AJ208" i="19"/>
  <c r="AL208" i="19" s="1"/>
  <c r="AJ207" i="19"/>
  <c r="AM207" i="19" s="1"/>
  <c r="AM206" i="19"/>
  <c r="AL206" i="19"/>
  <c r="AM205" i="19"/>
  <c r="AL205" i="19"/>
  <c r="AN205" i="19" s="1"/>
  <c r="AM204" i="19"/>
  <c r="AL204" i="19"/>
  <c r="AN204" i="19" s="1"/>
  <c r="AJ203" i="19"/>
  <c r="AL203" i="19" s="1"/>
  <c r="AJ202" i="19"/>
  <c r="AM202" i="19" s="1"/>
  <c r="AM201" i="19"/>
  <c r="AL201" i="19"/>
  <c r="AN201" i="19" s="1"/>
  <c r="AM200" i="19"/>
  <c r="AL200" i="19"/>
  <c r="AM199" i="19"/>
  <c r="AL199" i="19"/>
  <c r="AN199" i="19" s="1"/>
  <c r="AM198" i="19"/>
  <c r="AL198" i="19"/>
  <c r="AN198" i="19" s="1"/>
  <c r="AM197" i="19"/>
  <c r="AL197" i="19"/>
  <c r="AN197" i="19" s="1"/>
  <c r="AJ196" i="19"/>
  <c r="AL196" i="19" s="1"/>
  <c r="AM195" i="19"/>
  <c r="AL195" i="19"/>
  <c r="AJ194" i="19"/>
  <c r="AM194" i="19" s="1"/>
  <c r="AJ193" i="19"/>
  <c r="AL193" i="19" s="1"/>
  <c r="AJ186" i="19"/>
  <c r="AM185" i="19"/>
  <c r="AL185" i="19"/>
  <c r="AM184" i="19"/>
  <c r="AL184" i="19"/>
  <c r="AM183" i="19"/>
  <c r="AL183" i="19"/>
  <c r="AN183" i="19" s="1"/>
  <c r="AM182" i="19"/>
  <c r="AL182" i="19"/>
  <c r="AN182" i="19" s="1"/>
  <c r="AM181" i="19"/>
  <c r="AL181" i="19"/>
  <c r="AM180" i="19"/>
  <c r="AL180" i="19"/>
  <c r="AM179" i="19"/>
  <c r="AL179" i="19"/>
  <c r="AN179" i="19" s="1"/>
  <c r="AM178" i="19"/>
  <c r="AL178" i="19"/>
  <c r="AM177" i="19"/>
  <c r="AL177" i="19"/>
  <c r="AM176" i="19"/>
  <c r="AL176" i="19"/>
  <c r="AM175" i="19"/>
  <c r="AL175" i="19"/>
  <c r="AN175" i="19" s="1"/>
  <c r="AM174" i="19"/>
  <c r="AL174" i="19"/>
  <c r="AM173" i="19"/>
  <c r="AL173" i="19"/>
  <c r="AM172" i="19"/>
  <c r="AL172" i="19"/>
  <c r="AM171" i="19"/>
  <c r="AL171" i="19"/>
  <c r="AN171" i="19" s="1"/>
  <c r="AM170" i="19"/>
  <c r="AL170" i="19"/>
  <c r="AN170" i="19" s="1"/>
  <c r="AJ169" i="19"/>
  <c r="AM169" i="19" s="1"/>
  <c r="AM168" i="19"/>
  <c r="AL168" i="19"/>
  <c r="AN168" i="19" s="1"/>
  <c r="AJ167" i="19"/>
  <c r="AM167" i="19" s="1"/>
  <c r="AM166" i="19"/>
  <c r="AL166" i="19"/>
  <c r="AN166" i="19" s="1"/>
  <c r="AM165" i="19"/>
  <c r="AL165" i="19"/>
  <c r="AM164" i="19"/>
  <c r="AL164" i="19"/>
  <c r="AM163" i="19"/>
  <c r="AN163" i="19" s="1"/>
  <c r="AL163" i="19"/>
  <c r="AJ162" i="19"/>
  <c r="AM162" i="19" s="1"/>
  <c r="AJ148" i="19"/>
  <c r="AM148" i="19" s="1"/>
  <c r="AJ147" i="19"/>
  <c r="AM147" i="19" s="1"/>
  <c r="AJ146" i="19"/>
  <c r="AL146" i="19" s="1"/>
  <c r="AJ145" i="19"/>
  <c r="AM145" i="19" s="1"/>
  <c r="AJ144" i="19"/>
  <c r="AL144" i="19" s="1"/>
  <c r="AJ143" i="19"/>
  <c r="AM143" i="19" s="1"/>
  <c r="AJ142" i="19"/>
  <c r="AM142" i="19" s="1"/>
  <c r="AJ141" i="19"/>
  <c r="AM141" i="19" s="1"/>
  <c r="Z136" i="19"/>
  <c r="Y136" i="19"/>
  <c r="V136" i="19"/>
  <c r="AA136" i="19" s="1"/>
  <c r="G132" i="19"/>
  <c r="F132" i="19"/>
  <c r="C132" i="19"/>
  <c r="H132" i="19" s="1"/>
  <c r="AJ131" i="19"/>
  <c r="AM131" i="19" s="1"/>
  <c r="AJ130" i="19"/>
  <c r="AM130" i="19" s="1"/>
  <c r="AJ129" i="19"/>
  <c r="AM129" i="19" s="1"/>
  <c r="AJ128" i="19"/>
  <c r="AM128" i="19" s="1"/>
  <c r="AJ127" i="19"/>
  <c r="AL127" i="19" s="1"/>
  <c r="AJ126" i="19"/>
  <c r="AL126" i="19" s="1"/>
  <c r="AJ125" i="19"/>
  <c r="X125" i="19"/>
  <c r="AM124" i="19"/>
  <c r="AL124" i="19"/>
  <c r="AJ124" i="19"/>
  <c r="AJ123" i="19"/>
  <c r="AM123" i="19" s="1"/>
  <c r="N123" i="19"/>
  <c r="J123" i="19"/>
  <c r="AJ122" i="19"/>
  <c r="AM122" i="19" s="1"/>
  <c r="P122" i="19"/>
  <c r="L122" i="19"/>
  <c r="AJ121" i="19"/>
  <c r="AL121" i="19" s="1"/>
  <c r="P121" i="19"/>
  <c r="L121" i="19"/>
  <c r="AJ120" i="19"/>
  <c r="AM120" i="19" s="1"/>
  <c r="P120" i="19"/>
  <c r="L120" i="19"/>
  <c r="AJ119" i="19"/>
  <c r="AM119" i="19" s="1"/>
  <c r="P119" i="19"/>
  <c r="L119" i="19"/>
  <c r="AJ118" i="19"/>
  <c r="AM118" i="19" s="1"/>
  <c r="AJ117" i="19"/>
  <c r="AM117" i="19" s="1"/>
  <c r="AJ116" i="19"/>
  <c r="AM116" i="19" s="1"/>
  <c r="AJ115" i="19"/>
  <c r="AM115" i="19" s="1"/>
  <c r="AJ114" i="19"/>
  <c r="AM114" i="19" s="1"/>
  <c r="AJ113" i="19"/>
  <c r="AL113" i="19" s="1"/>
  <c r="AJ112" i="19"/>
  <c r="AM112" i="19" s="1"/>
  <c r="AJ111" i="19"/>
  <c r="AL111" i="19" s="1"/>
  <c r="AJ110" i="19"/>
  <c r="AM110" i="19" s="1"/>
  <c r="AJ109" i="19"/>
  <c r="AM109" i="19" s="1"/>
  <c r="AJ108" i="19"/>
  <c r="AM108" i="19" s="1"/>
  <c r="AJ107" i="19"/>
  <c r="AL107" i="19" s="1"/>
  <c r="G107" i="19"/>
  <c r="F107" i="19"/>
  <c r="C107" i="19"/>
  <c r="H107" i="19" s="1"/>
  <c r="AJ106" i="19"/>
  <c r="AM106" i="19" s="1"/>
  <c r="AJ105" i="19"/>
  <c r="AM105" i="19" s="1"/>
  <c r="AJ104" i="19"/>
  <c r="AM104" i="19" s="1"/>
  <c r="AJ103" i="19"/>
  <c r="AL103" i="19" s="1"/>
  <c r="AM102" i="19"/>
  <c r="AL102" i="19"/>
  <c r="AJ102" i="19"/>
  <c r="AJ101" i="19"/>
  <c r="AM101" i="19" s="1"/>
  <c r="Z101" i="19"/>
  <c r="Y101" i="19"/>
  <c r="V101" i="19"/>
  <c r="AA101" i="19" s="1"/>
  <c r="AJ100" i="19"/>
  <c r="AM100" i="19" s="1"/>
  <c r="AJ99" i="19"/>
  <c r="AM99" i="19" s="1"/>
  <c r="AJ98" i="19"/>
  <c r="AM98" i="19" s="1"/>
  <c r="N98" i="19"/>
  <c r="J98" i="19"/>
  <c r="AJ97" i="19"/>
  <c r="AM97" i="19" s="1"/>
  <c r="P97" i="19"/>
  <c r="L97" i="19"/>
  <c r="AL96" i="19"/>
  <c r="AJ96" i="19"/>
  <c r="AM96" i="19" s="1"/>
  <c r="P96" i="19"/>
  <c r="L96" i="19"/>
  <c r="AJ95" i="19"/>
  <c r="AM95" i="19" s="1"/>
  <c r="P95" i="19"/>
  <c r="L95" i="19"/>
  <c r="AJ94" i="19"/>
  <c r="AM94" i="19" s="1"/>
  <c r="P94" i="19"/>
  <c r="L94" i="19"/>
  <c r="AJ93" i="19"/>
  <c r="AM93" i="19" s="1"/>
  <c r="AJ92" i="19"/>
  <c r="AM92" i="19" s="1"/>
  <c r="AM91" i="19"/>
  <c r="AL91" i="19"/>
  <c r="AM90" i="19"/>
  <c r="AJ90" i="19"/>
  <c r="AL90" i="19" s="1"/>
  <c r="X90" i="19"/>
  <c r="AJ89" i="19"/>
  <c r="AM89" i="19" s="1"/>
  <c r="AJ88" i="19"/>
  <c r="AM88" i="19" s="1"/>
  <c r="G82" i="19"/>
  <c r="F82" i="19"/>
  <c r="C82" i="19"/>
  <c r="H82" i="19" s="1"/>
  <c r="AI80" i="19"/>
  <c r="AL80" i="19" s="1"/>
  <c r="AI79" i="19"/>
  <c r="AL79" i="19" s="1"/>
  <c r="AI78" i="19"/>
  <c r="AL78" i="19" s="1"/>
  <c r="AL77" i="19"/>
  <c r="AI77" i="19"/>
  <c r="AK77" i="19" s="1"/>
  <c r="AI76" i="19"/>
  <c r="AK76" i="19" s="1"/>
  <c r="AI75" i="19"/>
  <c r="AL75" i="19" s="1"/>
  <c r="AI74" i="19"/>
  <c r="AL74" i="19" s="1"/>
  <c r="AI73" i="19"/>
  <c r="AL73" i="19" s="1"/>
  <c r="N73" i="19"/>
  <c r="J73" i="19"/>
  <c r="AI72" i="19"/>
  <c r="AL72" i="19" s="1"/>
  <c r="N72" i="19"/>
  <c r="P72" i="19" s="1"/>
  <c r="L72" i="19"/>
  <c r="AI71" i="19"/>
  <c r="AK71" i="19" s="1"/>
  <c r="N71" i="19"/>
  <c r="P71" i="19" s="1"/>
  <c r="L71" i="19"/>
  <c r="AI70" i="19"/>
  <c r="AK70" i="19" s="1"/>
  <c r="N70" i="19"/>
  <c r="P70" i="19" s="1"/>
  <c r="L70" i="19"/>
  <c r="AI69" i="19"/>
  <c r="AL69" i="19" s="1"/>
  <c r="N69" i="19"/>
  <c r="P69" i="19" s="1"/>
  <c r="L69" i="19"/>
  <c r="AI68" i="19"/>
  <c r="AK68" i="19" s="1"/>
  <c r="AI67" i="19"/>
  <c r="AL67" i="19" s="1"/>
  <c r="AY66" i="19"/>
  <c r="AU66" i="19"/>
  <c r="AL66" i="19"/>
  <c r="AK66" i="19"/>
  <c r="AI66" i="19"/>
  <c r="Z66" i="19"/>
  <c r="Y66" i="19"/>
  <c r="V66" i="19"/>
  <c r="AA66" i="19" s="1"/>
  <c r="AY65" i="19"/>
  <c r="AU65" i="19"/>
  <c r="AI65" i="19"/>
  <c r="AL65" i="19" s="1"/>
  <c r="AY64" i="19"/>
  <c r="AU64" i="19"/>
  <c r="AI64" i="19"/>
  <c r="AK64" i="19" s="1"/>
  <c r="AY63" i="19"/>
  <c r="AU63" i="19"/>
  <c r="AI63" i="19"/>
  <c r="AK63" i="19" s="1"/>
  <c r="AY62" i="19"/>
  <c r="AU62" i="19"/>
  <c r="AI62" i="19"/>
  <c r="AL62" i="19" s="1"/>
  <c r="AY61" i="19"/>
  <c r="AU61" i="19"/>
  <c r="AI61" i="19"/>
  <c r="AL61" i="19" s="1"/>
  <c r="AY60" i="19"/>
  <c r="AU60" i="19"/>
  <c r="AI60" i="19"/>
  <c r="AL60" i="19" s="1"/>
  <c r="AY59" i="19"/>
  <c r="AU59" i="19"/>
  <c r="AI59" i="19"/>
  <c r="AL59" i="19" s="1"/>
  <c r="AY58" i="19"/>
  <c r="AU58" i="19"/>
  <c r="AI58" i="19"/>
  <c r="AL58" i="19" s="1"/>
  <c r="AY57" i="19"/>
  <c r="AU57" i="19"/>
  <c r="AI57" i="19"/>
  <c r="AL57" i="19" s="1"/>
  <c r="G57" i="19"/>
  <c r="F57" i="19"/>
  <c r="C57" i="19"/>
  <c r="H57" i="19" s="1"/>
  <c r="AY56" i="19"/>
  <c r="AU56" i="19"/>
  <c r="AI56" i="19"/>
  <c r="AL56" i="19" s="1"/>
  <c r="AY55" i="19"/>
  <c r="AU55" i="19"/>
  <c r="AI55" i="19"/>
  <c r="AL55" i="19" s="1"/>
  <c r="X55" i="19"/>
  <c r="AY54" i="19"/>
  <c r="AU54" i="19"/>
  <c r="AI54" i="19"/>
  <c r="AL54" i="19" s="1"/>
  <c r="AY53" i="19"/>
  <c r="AU53" i="19"/>
  <c r="AI53" i="19"/>
  <c r="AL53" i="19" s="1"/>
  <c r="AY52" i="19"/>
  <c r="AU52" i="19"/>
  <c r="AI52" i="19"/>
  <c r="AK52" i="19" s="1"/>
  <c r="AY51" i="19"/>
  <c r="AU51" i="19"/>
  <c r="AI51" i="19"/>
  <c r="AK51" i="19" s="1"/>
  <c r="AY50" i="19"/>
  <c r="AU50" i="19"/>
  <c r="AI50" i="19"/>
  <c r="AL50" i="19" s="1"/>
  <c r="AY49" i="19"/>
  <c r="AU49" i="19"/>
  <c r="AI49" i="19"/>
  <c r="AK49" i="19" s="1"/>
  <c r="AY48" i="19"/>
  <c r="AU48" i="19"/>
  <c r="AI48" i="19"/>
  <c r="AL48" i="19" s="1"/>
  <c r="AY47" i="19"/>
  <c r="AU47" i="19"/>
  <c r="AI47" i="19"/>
  <c r="AK47" i="19" s="1"/>
  <c r="J47" i="19"/>
  <c r="L47" i="19" s="1"/>
  <c r="AY46" i="19"/>
  <c r="AU46" i="19"/>
  <c r="AI46" i="19"/>
  <c r="AL46" i="19" s="1"/>
  <c r="J46" i="19"/>
  <c r="N46" i="19" s="1"/>
  <c r="P46" i="19" s="1"/>
  <c r="AY45" i="19"/>
  <c r="AU45" i="19"/>
  <c r="AI45" i="19"/>
  <c r="AK45" i="19" s="1"/>
  <c r="J45" i="19"/>
  <c r="N45" i="19" s="1"/>
  <c r="P45" i="19" s="1"/>
  <c r="AY44" i="19"/>
  <c r="AU44" i="19"/>
  <c r="AI44" i="19"/>
  <c r="AL44" i="19" s="1"/>
  <c r="J44" i="19"/>
  <c r="N44" i="19" s="1"/>
  <c r="AY43" i="19"/>
  <c r="AU43" i="19"/>
  <c r="AI43" i="19"/>
  <c r="AL43" i="19" s="1"/>
  <c r="AY42" i="19"/>
  <c r="AU42" i="19"/>
  <c r="AI42" i="19"/>
  <c r="AL42" i="19" s="1"/>
  <c r="AY41" i="19"/>
  <c r="AU41" i="19"/>
  <c r="AI41" i="19"/>
  <c r="AK41" i="19" s="1"/>
  <c r="AY40" i="19"/>
  <c r="AU40" i="19"/>
  <c r="AI40" i="19"/>
  <c r="AL40" i="19" s="1"/>
  <c r="AY39" i="19"/>
  <c r="AU39" i="19"/>
  <c r="AI39" i="19"/>
  <c r="AK39" i="19" s="1"/>
  <c r="AY38" i="19"/>
  <c r="AU38" i="19"/>
  <c r="AI38" i="19"/>
  <c r="AL38" i="19" s="1"/>
  <c r="AY37" i="19"/>
  <c r="AU37" i="19"/>
  <c r="AI37" i="19"/>
  <c r="AK37" i="19" s="1"/>
  <c r="AI36" i="19"/>
  <c r="AK36" i="19" s="1"/>
  <c r="AI35" i="19"/>
  <c r="AK35" i="19" s="1"/>
  <c r="AI34" i="19"/>
  <c r="AL34" i="19" s="1"/>
  <c r="AI33" i="19"/>
  <c r="AL33" i="19" s="1"/>
  <c r="AI32" i="19"/>
  <c r="AK32" i="19" s="1"/>
  <c r="Z32" i="19"/>
  <c r="Y32" i="19"/>
  <c r="V32" i="19"/>
  <c r="AA32" i="19" s="1"/>
  <c r="G32" i="19"/>
  <c r="F32" i="19"/>
  <c r="C32" i="19"/>
  <c r="H32" i="19" s="1"/>
  <c r="AI31" i="19"/>
  <c r="AK31" i="19" s="1"/>
  <c r="AI30" i="19"/>
  <c r="AL30" i="19" s="1"/>
  <c r="BC29" i="19"/>
  <c r="BB29" i="19"/>
  <c r="AY29" i="19"/>
  <c r="BD29" i="19" s="1"/>
  <c r="AI29" i="19"/>
  <c r="AL29" i="19" s="1"/>
  <c r="AI28" i="19"/>
  <c r="AK28" i="19" s="1"/>
  <c r="X28" i="19"/>
  <c r="AI27" i="19"/>
  <c r="AL27" i="19" s="1"/>
  <c r="AI26" i="19"/>
  <c r="AL26" i="19" s="1"/>
  <c r="AI25" i="19"/>
  <c r="AK25" i="19" s="1"/>
  <c r="AI24" i="19"/>
  <c r="AK24" i="19" s="1"/>
  <c r="AI23" i="19"/>
  <c r="AL23" i="19" s="1"/>
  <c r="N23" i="19"/>
  <c r="J23" i="19"/>
  <c r="AI22" i="19"/>
  <c r="AL22" i="19" s="1"/>
  <c r="P22" i="19"/>
  <c r="L22" i="19"/>
  <c r="AI21" i="19"/>
  <c r="AK21" i="19" s="1"/>
  <c r="X21" i="19"/>
  <c r="P21" i="19"/>
  <c r="L21" i="19"/>
  <c r="AI20" i="19"/>
  <c r="AL20" i="19" s="1"/>
  <c r="P20" i="19"/>
  <c r="L20" i="19"/>
  <c r="BA19" i="19"/>
  <c r="AY19" i="19"/>
  <c r="AL19" i="19"/>
  <c r="AK19" i="19"/>
  <c r="AI19" i="19"/>
  <c r="P19" i="19"/>
  <c r="L19" i="19"/>
  <c r="AI18" i="19"/>
  <c r="AK18" i="19" s="1"/>
  <c r="AI17" i="19"/>
  <c r="AL17" i="19" s="1"/>
  <c r="AI16" i="19"/>
  <c r="AL16" i="19" s="1"/>
  <c r="AI15" i="19"/>
  <c r="AK15" i="19" s="1"/>
  <c r="AI14" i="19"/>
  <c r="AK14" i="19" s="1"/>
  <c r="AN173" i="19" l="1"/>
  <c r="AN177" i="19"/>
  <c r="AN185" i="19"/>
  <c r="AN172" i="19"/>
  <c r="AN176" i="19"/>
  <c r="AN94" i="19"/>
  <c r="AL47" i="19"/>
  <c r="AM47" i="19" s="1"/>
  <c r="AL51" i="19"/>
  <c r="AM51" i="19" s="1"/>
  <c r="AL116" i="19"/>
  <c r="AN116" i="19" s="1"/>
  <c r="AM121" i="19"/>
  <c r="AL142" i="19"/>
  <c r="AN142" i="19" s="1"/>
  <c r="AL35" i="19"/>
  <c r="AM35" i="19" s="1"/>
  <c r="AK59" i="19"/>
  <c r="AM59" i="19" s="1"/>
  <c r="AL108" i="19"/>
  <c r="AN108" i="19" s="1"/>
  <c r="AM193" i="19"/>
  <c r="AN193" i="19" s="1"/>
  <c r="AN200" i="19"/>
  <c r="AM208" i="19"/>
  <c r="AN208" i="19" s="1"/>
  <c r="AL31" i="19"/>
  <c r="AM31" i="19" s="1"/>
  <c r="L98" i="19"/>
  <c r="AM103" i="19"/>
  <c r="AN103" i="19" s="1"/>
  <c r="AL129" i="19"/>
  <c r="AN129" i="19" s="1"/>
  <c r="AL64" i="19"/>
  <c r="AM64" i="19" s="1"/>
  <c r="AL109" i="19"/>
  <c r="AN109" i="19" s="1"/>
  <c r="AL122" i="19"/>
  <c r="AN122" i="19" s="1"/>
  <c r="AL194" i="19"/>
  <c r="AN194" i="19" s="1"/>
  <c r="AK20" i="19"/>
  <c r="AL104" i="19"/>
  <c r="AL145" i="19"/>
  <c r="AN145" i="19" s="1"/>
  <c r="AL25" i="19"/>
  <c r="AM25" i="19" s="1"/>
  <c r="AL37" i="19"/>
  <c r="AM37" i="19" s="1"/>
  <c r="AL41" i="19"/>
  <c r="AL94" i="19"/>
  <c r="AL99" i="19"/>
  <c r="AL49" i="19"/>
  <c r="AM49" i="19" s="1"/>
  <c r="AK69" i="19"/>
  <c r="AL88" i="19"/>
  <c r="AN88" i="19" s="1"/>
  <c r="AL167" i="19"/>
  <c r="AN167" i="19" s="1"/>
  <c r="AN195" i="19"/>
  <c r="AK73" i="19"/>
  <c r="AM73" i="19" s="1"/>
  <c r="AL105" i="19"/>
  <c r="AN105" i="19" s="1"/>
  <c r="AM146" i="19"/>
  <c r="AN146" i="19" s="1"/>
  <c r="AN213" i="19"/>
  <c r="AL112" i="19"/>
  <c r="AM32" i="19"/>
  <c r="AK46" i="19"/>
  <c r="AM46" i="19" s="1"/>
  <c r="AK57" i="19"/>
  <c r="AM57" i="19" s="1"/>
  <c r="AK74" i="19"/>
  <c r="AM74" i="19" s="1"/>
  <c r="AL89" i="19"/>
  <c r="AN89" i="19" s="1"/>
  <c r="AL21" i="19"/>
  <c r="AL32" i="19"/>
  <c r="AL106" i="19"/>
  <c r="AN106" i="19" s="1"/>
  <c r="AL120" i="19"/>
  <c r="AN120" i="19" s="1"/>
  <c r="AN184" i="19"/>
  <c r="AM113" i="19"/>
  <c r="AN113" i="19" s="1"/>
  <c r="AL162" i="19"/>
  <c r="AN162" i="19" s="1"/>
  <c r="AK33" i="19"/>
  <c r="AM33" i="19" s="1"/>
  <c r="AL39" i="19"/>
  <c r="AM39" i="19" s="1"/>
  <c r="AN215" i="19"/>
  <c r="AK40" i="19"/>
  <c r="AM40" i="19" s="1"/>
  <c r="AL71" i="19"/>
  <c r="AL128" i="19"/>
  <c r="AN128" i="19" s="1"/>
  <c r="AL117" i="19"/>
  <c r="AN117" i="19" s="1"/>
  <c r="AL24" i="19"/>
  <c r="AM24" i="19" s="1"/>
  <c r="AL36" i="19"/>
  <c r="AM36" i="19" s="1"/>
  <c r="AJ218" i="19"/>
  <c r="AL52" i="19"/>
  <c r="AM52" i="19" s="1"/>
  <c r="AL14" i="19"/>
  <c r="AM14" i="19" s="1"/>
  <c r="AL45" i="19"/>
  <c r="AM45" i="19" s="1"/>
  <c r="AK53" i="19"/>
  <c r="AM53" i="19" s="1"/>
  <c r="AN196" i="19"/>
  <c r="AM203" i="19"/>
  <c r="AN203" i="19" s="1"/>
  <c r="AM196" i="19"/>
  <c r="AM213" i="19"/>
  <c r="AL18" i="19"/>
  <c r="AM18" i="19" s="1"/>
  <c r="L23" i="19"/>
  <c r="AL28" i="19"/>
  <c r="AM28" i="19" s="1"/>
  <c r="AK50" i="19"/>
  <c r="AM50" i="19" s="1"/>
  <c r="AL70" i="19"/>
  <c r="AM70" i="19" s="1"/>
  <c r="AM66" i="19"/>
  <c r="AM126" i="19"/>
  <c r="AL141" i="19"/>
  <c r="AN141" i="19" s="1"/>
  <c r="AN206" i="19"/>
  <c r="E36" i="22"/>
  <c r="N9" i="20"/>
  <c r="N10" i="20"/>
  <c r="J16" i="20" s="1"/>
  <c r="AM19" i="19"/>
  <c r="AN174" i="19"/>
  <c r="AN181" i="19"/>
  <c r="AN121" i="19"/>
  <c r="P98" i="19"/>
  <c r="I102" i="19" s="1"/>
  <c r="M106" i="19" s="1"/>
  <c r="AM20" i="19"/>
  <c r="L73" i="19"/>
  <c r="AN164" i="19"/>
  <c r="AM41" i="19"/>
  <c r="AN165" i="19"/>
  <c r="AN178" i="19"/>
  <c r="AZ19" i="19"/>
  <c r="AN99" i="19"/>
  <c r="AM69" i="19"/>
  <c r="AN112" i="19"/>
  <c r="L123" i="19"/>
  <c r="AN180" i="19"/>
  <c r="P23" i="19"/>
  <c r="I27" i="19" s="1"/>
  <c r="M31" i="19" s="1"/>
  <c r="AM21" i="19"/>
  <c r="AM71" i="19"/>
  <c r="AN91" i="19"/>
  <c r="AN126" i="19"/>
  <c r="AN102" i="19"/>
  <c r="BB19" i="19"/>
  <c r="AN104" i="19"/>
  <c r="P123" i="19"/>
  <c r="N47" i="19"/>
  <c r="P47" i="19" s="1"/>
  <c r="AN124" i="19"/>
  <c r="AM77" i="19"/>
  <c r="AN90" i="19"/>
  <c r="AN96" i="19"/>
  <c r="P73" i="19"/>
  <c r="P44" i="19"/>
  <c r="AK56" i="19"/>
  <c r="AM56" i="19" s="1"/>
  <c r="AL125" i="19"/>
  <c r="J48" i="19"/>
  <c r="AM125" i="19"/>
  <c r="AK78" i="19"/>
  <c r="AM78" i="19" s="1"/>
  <c r="AJ132" i="19"/>
  <c r="AK29" i="19"/>
  <c r="AM29" i="19" s="1"/>
  <c r="AK55" i="19"/>
  <c r="AM55" i="19" s="1"/>
  <c r="AL15" i="19"/>
  <c r="AM15" i="19" s="1"/>
  <c r="AK26" i="19"/>
  <c r="AM26" i="19" s="1"/>
  <c r="AK34" i="19"/>
  <c r="AM34" i="19" s="1"/>
  <c r="AK43" i="19"/>
  <c r="AM43" i="19" s="1"/>
  <c r="L45" i="19"/>
  <c r="AK62" i="19"/>
  <c r="AM62" i="19" s="1"/>
  <c r="AL97" i="19"/>
  <c r="AN97" i="19" s="1"/>
  <c r="AL100" i="19"/>
  <c r="AN100" i="19" s="1"/>
  <c r="AL209" i="19"/>
  <c r="AN209" i="19" s="1"/>
  <c r="AK38" i="19"/>
  <c r="AM38" i="19" s="1"/>
  <c r="AK72" i="19"/>
  <c r="AM72" i="19" s="1"/>
  <c r="AL110" i="19"/>
  <c r="AN110" i="19" s="1"/>
  <c r="AL114" i="19"/>
  <c r="AN114" i="19" s="1"/>
  <c r="AL118" i="19"/>
  <c r="AN118" i="19" s="1"/>
  <c r="AL123" i="19"/>
  <c r="AN123" i="19" s="1"/>
  <c r="AL130" i="19"/>
  <c r="AN130" i="19" s="1"/>
  <c r="AL143" i="19"/>
  <c r="AN143" i="19" s="1"/>
  <c r="AL147" i="19"/>
  <c r="AN147" i="19" s="1"/>
  <c r="AK48" i="19"/>
  <c r="AM48" i="19" s="1"/>
  <c r="AK67" i="19"/>
  <c r="AM67" i="19" s="1"/>
  <c r="AK75" i="19"/>
  <c r="AM75" i="19" s="1"/>
  <c r="AK79" i="19"/>
  <c r="AM79" i="19" s="1"/>
  <c r="AL92" i="19"/>
  <c r="AN92" i="19" s="1"/>
  <c r="AL169" i="19"/>
  <c r="AN169" i="19" s="1"/>
  <c r="AK65" i="19"/>
  <c r="AM65" i="19" s="1"/>
  <c r="AK16" i="19"/>
  <c r="AM16" i="19" s="1"/>
  <c r="AK23" i="19"/>
  <c r="AM23" i="19" s="1"/>
  <c r="AK60" i="19"/>
  <c r="AM60" i="19" s="1"/>
  <c r="AL95" i="19"/>
  <c r="AN95" i="19" s="1"/>
  <c r="AL210" i="19"/>
  <c r="AN210" i="19" s="1"/>
  <c r="AL115" i="19"/>
  <c r="AN115" i="19" s="1"/>
  <c r="AL148" i="19"/>
  <c r="AN148" i="19" s="1"/>
  <c r="AK58" i="19"/>
  <c r="AM58" i="19" s="1"/>
  <c r="AL63" i="19"/>
  <c r="AM63" i="19" s="1"/>
  <c r="AK80" i="19"/>
  <c r="AM80" i="19" s="1"/>
  <c r="AM111" i="19"/>
  <c r="AM127" i="19"/>
  <c r="AN127" i="19" s="1"/>
  <c r="AL202" i="19"/>
  <c r="AN202" i="19" s="1"/>
  <c r="AK27" i="19"/>
  <c r="AM27" i="19" s="1"/>
  <c r="L44" i="19"/>
  <c r="AK17" i="19"/>
  <c r="AM17" i="19" s="1"/>
  <c r="AK30" i="19"/>
  <c r="AM30" i="19" s="1"/>
  <c r="AK54" i="19"/>
  <c r="AM54" i="19" s="1"/>
  <c r="AL68" i="19"/>
  <c r="AM68" i="19" s="1"/>
  <c r="AL76" i="19"/>
  <c r="AM76" i="19" s="1"/>
  <c r="AL93" i="19"/>
  <c r="AN93" i="19" s="1"/>
  <c r="AM107" i="19"/>
  <c r="AN107" i="19" s="1"/>
  <c r="AM144" i="19"/>
  <c r="AN144" i="19" s="1"/>
  <c r="AL98" i="19"/>
  <c r="AN98" i="19" s="1"/>
  <c r="AL101" i="19"/>
  <c r="AN101" i="19" s="1"/>
  <c r="AL119" i="19"/>
  <c r="AN119" i="19" s="1"/>
  <c r="AL131" i="19"/>
  <c r="AN131" i="19" s="1"/>
  <c r="AL207" i="19"/>
  <c r="AN207" i="19" s="1"/>
  <c r="AJ149" i="19"/>
  <c r="AK22" i="19"/>
  <c r="AM22" i="19" s="1"/>
  <c r="L46" i="19"/>
  <c r="AK61" i="19"/>
  <c r="AM61" i="19" s="1"/>
  <c r="AK42" i="19"/>
  <c r="AM42" i="19" s="1"/>
  <c r="AK44" i="19"/>
  <c r="AM44" i="19" s="1"/>
  <c r="E45" i="22" l="1"/>
  <c r="E46" i="22" s="1"/>
  <c r="K42" i="24"/>
  <c r="K47" i="24" s="1"/>
  <c r="E46" i="24" s="1"/>
  <c r="C93" i="24" s="1"/>
  <c r="BC19" i="19"/>
  <c r="BA23" i="19" s="1"/>
  <c r="I77" i="19"/>
  <c r="AN218" i="19"/>
  <c r="AN186" i="19"/>
  <c r="I127" i="19"/>
  <c r="M131" i="19" s="1"/>
  <c r="Z125" i="19"/>
  <c r="X127" i="19" s="1"/>
  <c r="Z131" i="19" s="1"/>
  <c r="P48" i="19"/>
  <c r="AN149" i="19"/>
  <c r="Z90" i="19" s="1"/>
  <c r="X92" i="19" s="1"/>
  <c r="Z96" i="19" s="1"/>
  <c r="N48" i="19"/>
  <c r="Z21" i="19"/>
  <c r="X23" i="19" s="1"/>
  <c r="Z27" i="19" s="1"/>
  <c r="AM81" i="19"/>
  <c r="Z55" i="19" s="1"/>
  <c r="X57" i="19" s="1"/>
  <c r="Z61" i="19" s="1"/>
  <c r="M81" i="19"/>
  <c r="G139" i="19"/>
  <c r="AN125" i="19"/>
  <c r="AN111" i="19"/>
  <c r="AN132" i="19" s="1"/>
  <c r="L48" i="19"/>
  <c r="J28" i="24" l="1"/>
  <c r="E30" i="24" s="1"/>
  <c r="J26" i="24"/>
  <c r="I52" i="19"/>
  <c r="F139" i="19" s="1"/>
  <c r="F140" i="19" s="1"/>
  <c r="H139" i="19"/>
  <c r="C92" i="24" l="1"/>
  <c r="C97" i="24" s="1"/>
  <c r="B33" i="24"/>
  <c r="M56" i="19"/>
  <c r="C103" i="24" l="1"/>
  <c r="C102" i="24"/>
  <c r="C10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Hellen Patricia Chinchilla Guzman</author>
    <author>Alina Rodríguez Rodríguez</author>
  </authors>
  <commentList>
    <comment ref="AJ51" authorId="0" shapeId="0" xr:uid="{CDA42DAD-8C62-4E58-B0AD-90857F7A947E}">
      <text>
        <r>
          <rPr>
            <b/>
            <sz val="9"/>
            <color indexed="81"/>
            <rFont val="Tahoma"/>
            <family val="2"/>
          </rPr>
          <t>Hellen Patricia Chinchilla Guzman:</t>
        </r>
        <r>
          <rPr>
            <sz val="9"/>
            <color indexed="81"/>
            <rFont val="Tahoma"/>
            <family val="2"/>
          </rPr>
          <t xml:space="preserve">
AR-Regionzalización</t>
        </r>
      </text>
    </comment>
    <comment ref="AJ52" authorId="0" shapeId="0" xr:uid="{799800D1-9603-4155-98F1-E422CFC838BE}">
      <text>
        <r>
          <rPr>
            <b/>
            <sz val="9"/>
            <color indexed="81"/>
            <rFont val="Tahoma"/>
            <family val="2"/>
          </rPr>
          <t>Hellen Patricia Chinchilla Guzman:</t>
        </r>
        <r>
          <rPr>
            <sz val="9"/>
            <color indexed="81"/>
            <rFont val="Tahoma"/>
            <family val="2"/>
          </rPr>
          <t xml:space="preserve">
VIESA-CEDA</t>
        </r>
      </text>
    </comment>
    <comment ref="AG115" authorId="0" shapeId="0" xr:uid="{90595A59-E83C-4B1D-9DEF-18C3913643BC}">
      <text>
        <r>
          <rPr>
            <b/>
            <sz val="9"/>
            <color indexed="81"/>
            <rFont val="Tahoma"/>
            <family val="2"/>
          </rPr>
          <t>Hellen Patricia Chinchilla Guzman:</t>
        </r>
        <r>
          <rPr>
            <sz val="9"/>
            <color indexed="81"/>
            <rFont val="Tahoma"/>
            <family val="2"/>
          </rPr>
          <t xml:space="preserve">
7:30 a.m.</t>
        </r>
      </text>
    </comment>
    <comment ref="AG116" authorId="0" shapeId="0" xr:uid="{D7A4DEF7-3179-4CF5-AB93-8A15D03CF89F}">
      <text>
        <r>
          <rPr>
            <b/>
            <sz val="9"/>
            <color indexed="81"/>
            <rFont val="Tahoma"/>
            <family val="2"/>
          </rPr>
          <t>Hellen Patricia Chinchilla Guzman:</t>
        </r>
        <r>
          <rPr>
            <sz val="9"/>
            <color indexed="81"/>
            <rFont val="Tahoma"/>
            <family val="2"/>
          </rPr>
          <t xml:space="preserve">
12:00md</t>
        </r>
      </text>
    </comment>
    <comment ref="AH210" authorId="1" shapeId="0" xr:uid="{43113347-5AD5-448C-848D-2C34D4001092}">
      <text>
        <r>
          <rPr>
            <b/>
            <sz val="9"/>
            <color indexed="81"/>
            <rFont val="Tahoma"/>
            <family val="2"/>
          </rPr>
          <t>Alina Rodríguez Rodríguez:</t>
        </r>
        <r>
          <rPr>
            <sz val="9"/>
            <color indexed="81"/>
            <rFont val="Tahoma"/>
            <family val="2"/>
          </rPr>
          <t xml:space="preserve">
Se utiliza rendimiento de vehículo similar, el cual es el 265-179 (de acuerdo a lo indicado por el coordinador de la Unidad de Transporte).Tiene mismo motor, por lo que se asume mismo rendimiento. Este vehículo 265-178 es un vehículo del campus San Carlos. Por lo que en el Campus Cartago no se tiene control del mismo.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Alina Rodriguez Rodriguez</author>
    <author>tc={123A2CA7-2FC6-4F69-AD6B-F7D1CFF1A986}</author>
  </authors>
  <commentList>
    <comment ref="N8" authorId="0" shapeId="0" xr:uid="{3C7D4D4A-FEC1-40F5-8D1D-95A5E7D97328}">
      <text>
        <r>
          <rPr>
            <b/>
            <sz val="9"/>
            <color indexed="81"/>
            <rFont val="Tahoma"/>
            <family val="2"/>
          </rPr>
          <t>Alina Rodríguez Rodríguez:</t>
        </r>
        <r>
          <rPr>
            <sz val="9"/>
            <color indexed="81"/>
            <rFont val="Tahoma"/>
            <family val="2"/>
          </rPr>
          <t xml:space="preserve">
9 meses de uso en el 2023</t>
        </r>
      </text>
    </comment>
    <comment ref="N9" authorId="0" shapeId="0" xr:uid="{9D68AB95-5B8A-4EC3-8C48-D2667335D451}">
      <text>
        <r>
          <rPr>
            <b/>
            <sz val="9"/>
            <color indexed="81"/>
            <rFont val="Tahoma"/>
            <family val="2"/>
          </rPr>
          <t>Alina Rodríguez Rodríguez:</t>
        </r>
        <r>
          <rPr>
            <sz val="9"/>
            <color indexed="81"/>
            <rFont val="Tahoma"/>
            <family val="2"/>
          </rPr>
          <t xml:space="preserve">
9 meses de uso en el 2023</t>
        </r>
      </text>
    </comment>
    <comment ref="D13" authorId="1" shapeId="0" xr:uid="{F1949AA6-CBFA-404C-920E-35BA1CC4FD59}">
      <text>
        <r>
          <rPr>
            <b/>
            <sz val="9"/>
            <color indexed="81"/>
            <rFont val="Tahoma"/>
            <family val="2"/>
          </rPr>
          <t>Alina Rodriguez Rodriguez:</t>
        </r>
        <r>
          <rPr>
            <sz val="9"/>
            <color indexed="81"/>
            <rFont val="Tahoma"/>
            <family val="2"/>
          </rPr>
          <t xml:space="preserve">
en total son 10. Pero 4 son para TEC-Zapote</t>
        </r>
      </text>
    </comment>
    <comment ref="J13" authorId="0" shapeId="0" xr:uid="{5AF70CEA-EAED-42BD-8C3A-5996E6D3AD86}">
      <text>
        <r>
          <rPr>
            <b/>
            <sz val="9"/>
            <color indexed="81"/>
            <rFont val="Tahoma"/>
            <family val="2"/>
          </rPr>
          <t>Alina Rodríguez Rodríguez:</t>
        </r>
        <r>
          <rPr>
            <sz val="9"/>
            <color indexed="81"/>
            <rFont val="Tahoma"/>
            <family val="2"/>
          </rPr>
          <t xml:space="preserve">
9 meses de uso en el 2023</t>
        </r>
      </text>
    </comment>
    <comment ref="F14" authorId="2" shapeId="0" xr:uid="{123A2CA7-2FC6-4F69-AD6B-F7D1CFF1A986}">
      <text>
        <t>[Comentario encadenado]
Su versión de Excel le permite leer este comentario encadenado; sin embargo, las ediciones que se apliquen se quitarán si el archivo se abre en una versión más reciente de Excel. Más información: https://go.microsoft.com/fwlink/?linkid=870924
Comentario:
    Luminaria tipo cobra. Luminaria para calles o carreteras de 108 W</t>
      </text>
    </comment>
    <comment ref="J14" authorId="0" shapeId="0" xr:uid="{9EE2F5E0-395B-452D-B0CF-CF766E3ECEB5}">
      <text>
        <r>
          <rPr>
            <b/>
            <sz val="9"/>
            <color indexed="81"/>
            <rFont val="Tahoma"/>
            <family val="2"/>
          </rPr>
          <t>Alina Rodríguez Rodríguez:</t>
        </r>
        <r>
          <rPr>
            <sz val="9"/>
            <color indexed="81"/>
            <rFont val="Tahoma"/>
            <family val="2"/>
          </rPr>
          <t xml:space="preserve">
9 meses de uso en el 2023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Alina Rodríguez Rodríguez</author>
  </authors>
  <commentList>
    <comment ref="E21" authorId="0" shapeId="0" xr:uid="{AF4AC12E-EF25-4D6F-BA66-1E6845E2232A}">
      <text>
        <r>
          <rPr>
            <b/>
            <sz val="9"/>
            <color indexed="81"/>
            <rFont val="Tahoma"/>
            <family val="2"/>
          </rPr>
          <t>Alina Rodríguez Rodríguez:</t>
        </r>
        <r>
          <rPr>
            <sz val="9"/>
            <color indexed="81"/>
            <rFont val="Tahoma"/>
            <family val="2"/>
          </rPr>
          <t xml:space="preserve">
Desde adquisición, se considera uso en 7 meses. Julio y diciembre solo dos semanas se recarga por las vacaciones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Alina Rodriguez Rodriguez</author>
  </authors>
  <commentList>
    <comment ref="B102" authorId="0" shapeId="0" xr:uid="{83AD33B3-F601-41C6-9DD1-8048D454FDA3}">
      <text>
        <r>
          <rPr>
            <b/>
            <sz val="9"/>
            <color indexed="81"/>
            <rFont val="Tahoma"/>
            <family val="2"/>
          </rPr>
          <t>Alina Rodriguez Rodriguez:</t>
        </r>
        <r>
          <rPr>
            <sz val="9"/>
            <color indexed="81"/>
            <rFont val="Tahoma"/>
            <family val="2"/>
          </rPr>
          <t xml:space="preserve">
promedio últimos años</t>
        </r>
      </text>
    </comment>
  </commentList>
</comments>
</file>

<file path=xl/sharedStrings.xml><?xml version="1.0" encoding="utf-8"?>
<sst xmlns="http://schemas.openxmlformats.org/spreadsheetml/2006/main" count="1546" uniqueCount="463">
  <si>
    <t>Total</t>
  </si>
  <si>
    <t>Categoría</t>
  </si>
  <si>
    <t>Emisiones indirectas de GEI causadas por energía importada</t>
  </si>
  <si>
    <t>Emisiones indirectas causadas por la electricidad importada, incluyendo las emisiones de GEI relacionadas con la producción y el consumo de la electricidad importada por la organización.</t>
  </si>
  <si>
    <t>PLAN DE REDUCCIONES 2023-2027</t>
  </si>
  <si>
    <t>Plazo</t>
  </si>
  <si>
    <t>Año</t>
  </si>
  <si>
    <t>Sub categoría</t>
  </si>
  <si>
    <t>Objetivo</t>
  </si>
  <si>
    <t>Tipo</t>
  </si>
  <si>
    <t>Meta</t>
  </si>
  <si>
    <t>Proyecto</t>
  </si>
  <si>
    <t>Campus</t>
  </si>
  <si>
    <t>Actividades</t>
  </si>
  <si>
    <t>Responsables</t>
  </si>
  <si>
    <t>Indicadores de seguimiento</t>
  </si>
  <si>
    <t>Medios de control</t>
  </si>
  <si>
    <t>Recursos</t>
  </si>
  <si>
    <t>Vinculación con NDC</t>
  </si>
  <si>
    <t>Metodología de cuantificación</t>
  </si>
  <si>
    <t>Supuestos</t>
  </si>
  <si>
    <t>Periodo de Cumplimiento</t>
  </si>
  <si>
    <t>Trimestres 2023</t>
  </si>
  <si>
    <t>Trimestres 2024</t>
  </si>
  <si>
    <t>Trimestres 2025</t>
  </si>
  <si>
    <t>Trimestres 2026</t>
  </si>
  <si>
    <t>Trimestres 2027</t>
  </si>
  <si>
    <t>I</t>
  </si>
  <si>
    <t>II</t>
  </si>
  <si>
    <t>III</t>
  </si>
  <si>
    <t>IV</t>
  </si>
  <si>
    <t>Corto</t>
  </si>
  <si>
    <r>
      <t>Reducir</t>
    </r>
    <r>
      <rPr>
        <b/>
        <sz val="12"/>
        <rFont val="Franklin Gothic Book"/>
        <family val="2"/>
      </rPr>
      <t xml:space="preserve"> 2</t>
    </r>
    <r>
      <rPr>
        <sz val="12"/>
        <rFont val="Franklin Gothic Book"/>
        <family val="2"/>
      </rPr>
      <t xml:space="preserve"> T CO</t>
    </r>
    <r>
      <rPr>
        <vertAlign val="subscript"/>
        <sz val="12"/>
        <rFont val="Franklin Gothic Book"/>
        <family val="2"/>
      </rPr>
      <t>2</t>
    </r>
    <r>
      <rPr>
        <sz val="12"/>
        <rFont val="Franklin Gothic Book"/>
        <family val="2"/>
      </rPr>
      <t>e debido al uso de energía eléctrica</t>
    </r>
  </si>
  <si>
    <t>Absoluta</t>
  </si>
  <si>
    <r>
      <t>Reducir 2 T de CO</t>
    </r>
    <r>
      <rPr>
        <vertAlign val="subscript"/>
        <sz val="12"/>
        <rFont val="Franklin Gothic Book"/>
        <family val="2"/>
      </rPr>
      <t>2</t>
    </r>
    <r>
      <rPr>
        <sz val="12"/>
        <rFont val="Franklin Gothic Book"/>
        <family val="2"/>
      </rPr>
      <t xml:space="preserve">e al 2022 </t>
    </r>
  </si>
  <si>
    <t xml:space="preserve">Desde el 2017 la Universidad inició la instalación de paneles solares para después iniciar la construcción del Complejo Solar TEC. La operación del Complejo Solar ha sido por etapas, por lo que no todos los inversores han estado conectados a la vez. En el 2023 se completa la operación.
</t>
  </si>
  <si>
    <t>Central Cartago</t>
  </si>
  <si>
    <t>Dar seguimiento a la operación del Complejo Solar TEC</t>
  </si>
  <si>
    <t>Ing. Carlos Segura, SESLab</t>
  </si>
  <si>
    <t>Inversión o desarrollo de mejoras</t>
  </si>
  <si>
    <t>Se da seguimiento a los proyectos de reducción en las reuniones semanales del equipo de trabajo de Gestión Ambiental de la Unidad de Gestión Ambiental y Seguridad Laboral, en las cuales una sección de la agenda es sobre carbono neutralidad.</t>
  </si>
  <si>
    <t>Recurso humano para la ejecución y seguimiento (Departamento de Administración de Mantenimiento y Seslab)</t>
  </si>
  <si>
    <t>3. Energía</t>
  </si>
  <si>
    <t>El Laboratorio de Sistemas Electrónicos para la Sostenibilidad (SESLab) se encarga de cuantificar la generación de energía mediante paneles solares en al Campus, además, el laboratorio se encarga de implementar acciones que permitan aumentar la cantidad de electricidad producida por páneles en la Institución. Se asume que la energía generada por el Complejo Solar TEC representa emisiones evitadas según el factor de emisión correspondiente al periodo en estudio publicado por el Instituto Meteorológico Nacional. La energía generada se estima mediante la diferencia entre lecturas del total generado por los inversores. Para obtener el impacto de las acciones realizadas en el año de reporte,  se asume la diferencia de la producción de energía entre el año anterior y el año de reporte, es decir, se asume que el aumento en la generación se debe a las acciones realizadas duranre el periodo.</t>
  </si>
  <si>
    <t>Se supone que la información brindada de generación de energía por inversor por el SESLab es fidedigna.
.</t>
  </si>
  <si>
    <t>X</t>
  </si>
  <si>
    <t>Reportar la generación del Complejo Solar TEC</t>
  </si>
  <si>
    <t>Compras, tipo de luminaria adquirida y sitio</t>
  </si>
  <si>
    <t>Reducir  1 T CO2e debido a la sustitución de luminarias en las carreteras, aceras y pasillos.</t>
  </si>
  <si>
    <t>Reducir 1 T CO2e durante el 2022 debido a la sustitución de luminarias en carreteras, aceras y pasillos.</t>
  </si>
  <si>
    <t>El Departamento de Administración de Mantenimiento realizará la sustitución de algunas luminarias en pasillos, carreteras y aceras por luminarias más eficientes.</t>
  </si>
  <si>
    <t>Realizar la sustitución de luminarias en aceras, pasillos y carreteras.</t>
  </si>
  <si>
    <t>Jeferson Ilama,  Departamento de Administración de Mantenimiento</t>
  </si>
  <si>
    <t>Potencia (kW) y eficiencia de las luminarias a sustituir y de las que sirven como reemplazo.
Horas de uso de las luminarias</t>
  </si>
  <si>
    <t>Las reducciones debido a la sustitución de luminarias por otras más eficientes, se estiman realizando la comparación de dos escenarios: uno haciendo uso de las luminarias que se están eliminando y otro haciendo uso de las luminarias que se están instalando. La diferencia de emisiones se considera la reducción. Para el uso es necesario considerar las fechas en las que se realizó la sustitución.</t>
  </si>
  <si>
    <t>x</t>
  </si>
  <si>
    <t>Emisiones y remociones directas de GEI</t>
  </si>
  <si>
    <t>Emisiones fugitivas directas causadas por la liberación de GEI en sistemas antropogénicos</t>
  </si>
  <si>
    <t>Reducir al menos 4 T CO2e debido a la gestión de residuos orgánicos.</t>
  </si>
  <si>
    <r>
      <t>Reducir 1 T CO</t>
    </r>
    <r>
      <rPr>
        <vertAlign val="subscript"/>
        <sz val="12"/>
        <rFont val="Franklin Gothic Book"/>
        <family val="2"/>
      </rPr>
      <t>2</t>
    </r>
    <r>
      <rPr>
        <sz val="12"/>
        <rFont val="Franklin Gothic Book"/>
        <family val="2"/>
      </rPr>
      <t>e durante el 2023 debido al compostaje de residuos orgánicos.</t>
    </r>
  </si>
  <si>
    <t>La Unidad de Gestión Ambiental y Seguridad Laboral cuenta con el Programa de Manejo de Residuos Institucionales, el cual planificó el desarrollo de un un proceso integral  que permitiera el tratamiento de los residuos orgánicos generados en el Campus. Como parte del proceso se utiliza una compostera automatizada con el fin de gestionar los residuos orgánicos de las Residencias Estudiantiles y el Restaurante Institucional.Como parte del proceso de planificación, se establecieron una serie de pruebas piloto para el compostaje hasta que se pudiese definir la puesta en marcha final del proyecto.
Durante el 2020 debido a la emergencia nacional sanitaria por COVID-19 se redujo la cantidad de residuos orgánicos por lo que el proceso para iniciar las pruebas piloto tuvo que posponerse.  Durante el 2021, 2022 y el primer semestre 2023  se dio inicio a las pruebas piloto. Se observaron errores de programación y fábrica, las cuales eran de esperarse al ser un equipo nuevo e innovador producido 100% nacionalmente. Los residuos compostados durante dichas pruebas se reportaron para dichos periodos. 
Se presentan evidencias de los seguimientos dados durante los 3 años de pruebas piloto, así como de las mejoras que se han ido realizando para lograr un proceso definitivo. Durante el segundo semestre del 2023 la compostera finalizó la realización de pruebas piloto y dio inicio al proceso estandarizado de gestión de residuos orgánicos del Restaurante Institucional y de las Residencias Estudiantiles. Por lo anterior, ya a partir del 2023 se logró incrementar el porcentaje de residos orgánicos.  Finalmente, como parte de la finalización de las pruebas, solamente queda pendiente el cambio del motor de la máquina. Se está a la espera por parte de la empresa.</t>
  </si>
  <si>
    <t>Dar seguimiento a la gestión de los residuos orgánicos durante las pruebas (recolección, transporte, compostaje)</t>
  </si>
  <si>
    <t>Ing. Alina Rodríguez
GASEL</t>
  </si>
  <si>
    <t>Contratación de transporte
Registro de residuos</t>
  </si>
  <si>
    <t>25 millones
Recurso humano para seguimientodel proyecto</t>
  </si>
  <si>
    <t>6. Gestión Integrada de Residuos</t>
  </si>
  <si>
    <t>Las reducciones debido al compostaje de residuos orgánicos se realiza comparando las emisiones de dos escenarios: uno en el que la cantidad de residuos orgánicos se gestiona mediante relleno sanitario y otro en el que esa misma cantidad de residuos orgánicos se gestiona mediante compostaje. La diferencia de emisiones se considera la reducción.</t>
  </si>
  <si>
    <t>Se supone que el peso de los residuos orgánicos incluye el material secante.</t>
  </si>
  <si>
    <t>Reportar la cantidad de residuos orgánicos compostados</t>
  </si>
  <si>
    <t>Jhonny Granados, Operador, MADI</t>
  </si>
  <si>
    <t>kg de residuos orgánicos compostados por un periodo de tiempo</t>
  </si>
  <si>
    <t>Contratación de transporte</t>
  </si>
  <si>
    <t>Combustión móvil</t>
  </si>
  <si>
    <r>
      <t>Reducir al menos 0,1 T CO</t>
    </r>
    <r>
      <rPr>
        <vertAlign val="subscript"/>
        <sz val="12"/>
        <color rgb="FF000000"/>
        <rFont val="Franklin Gothic Book"/>
        <family val="2"/>
      </rPr>
      <t>2</t>
    </r>
    <r>
      <rPr>
        <sz val="12"/>
        <color rgb="FF000000"/>
        <rFont val="Franklin Gothic Book"/>
        <family val="2"/>
      </rPr>
      <t>e debido al uso de bicicletas eléctricas en los recorridos de los oficiales de la Unidad de Seguridad y Vigilancia.</t>
    </r>
  </si>
  <si>
    <r>
      <t>Reducir al menos 0,1 T CO</t>
    </r>
    <r>
      <rPr>
        <vertAlign val="subscript"/>
        <sz val="12"/>
        <color rgb="FF000000"/>
        <rFont val="Franklin Gothic Book"/>
        <family val="2"/>
      </rPr>
      <t>2</t>
    </r>
    <r>
      <rPr>
        <sz val="12"/>
        <color rgb="FF000000"/>
        <rFont val="Franklin Gothic Book"/>
        <family val="2"/>
      </rPr>
      <t>e durante el 2023 debido a la priorización del uso de bicicletas en la Unidad de Seguridad y Vigilancia y la dirección del Campus Local San José.</t>
    </r>
  </si>
  <si>
    <r>
      <t>La Unidad de Gestión Ambiental y Seguridad Laboral cuenta con bicicletas eléctricas para la movilidad de algunos puestos o funcionarios dentro de la Universidad. La Unidad de Seguridad y Vigilancia cuenta con</t>
    </r>
    <r>
      <rPr>
        <b/>
        <sz val="12"/>
        <color rgb="FF000000"/>
        <rFont val="Franklin Gothic Book"/>
        <family val="2"/>
      </rPr>
      <t xml:space="preserve"> </t>
    </r>
    <r>
      <rPr>
        <sz val="12"/>
        <color rgb="FF000000"/>
        <rFont val="Franklin Gothic Book"/>
        <family val="2"/>
      </rPr>
      <t>bicicletas que utiliza en los recorridos diarios dentro de las instalaciones de la Universidad, los cuáles previamente se realizaban en motocicletas. Como parte del proyecto se dio la indicación para priorizar el uso de bicicletas eléctricas en vez de motos de combustión fósil.</t>
    </r>
  </si>
  <si>
    <t>Central Cartago
Local San José</t>
  </si>
  <si>
    <t>Dar la indicación a los choferes de priorizar siempre que sea porsible el uso de las bicis versus las motocicletas.
Solicitar los registro de GPS</t>
  </si>
  <si>
    <t>Oficiales de la Unidad de Seguridad y Vigilancia
Chofer Dirección Campus Local San José
Encargado, GASEL</t>
  </si>
  <si>
    <t>Kilómetros recorridos</t>
  </si>
  <si>
    <t>Uso de vehículos eléctricos</t>
  </si>
  <si>
    <t>1. Movilidad y Transporte</t>
  </si>
  <si>
    <t>Las reducciones debido al uso de las bicicletas eléctricas en los recorridos de los oficiales de la Unidad de Seguridad y Vigilancia, se estiman realizando la comparación de dos escenarios: uno recorriendo cierta cantidad de kilómetros en una motocicleta y el otro recorriendo esa misma cantidad de kilómetros en la bicicleta eléctrica. Los kilómetros recorridos se tomarán de odómetros de las bicicletas y para el primer escenario se considerará el rendimiento de las motocicletas que tiene actualmente la Unidad de Seguridad y Vigilancia.</t>
  </si>
  <si>
    <t>Corto, medioano y largo</t>
  </si>
  <si>
    <t xml:space="preserve">
2024
2025</t>
  </si>
  <si>
    <r>
      <t>Reducir al menos 1 T CO</t>
    </r>
    <r>
      <rPr>
        <vertAlign val="subscript"/>
        <sz val="12"/>
        <color rgb="FF000000"/>
        <rFont val="Franklin Gothic Book"/>
        <family val="2"/>
      </rPr>
      <t>2</t>
    </r>
    <r>
      <rPr>
        <sz val="12"/>
        <color rgb="FF000000"/>
        <rFont val="Franklin Gothic Book"/>
        <family val="2"/>
      </rPr>
      <t>e debido a la implementación de viajes compartidos</t>
    </r>
  </si>
  <si>
    <r>
      <t>Reducir anualmente al menos 1 T CO</t>
    </r>
    <r>
      <rPr>
        <vertAlign val="subscript"/>
        <sz val="12"/>
        <color rgb="FF000000"/>
        <rFont val="Franklin Gothic Book"/>
        <family val="2"/>
      </rPr>
      <t>2</t>
    </r>
    <r>
      <rPr>
        <sz val="12"/>
        <color rgb="FF000000"/>
        <rFont val="Franklin Gothic Book"/>
        <family val="2"/>
      </rPr>
      <t>e durante el 2023 debido a la implementación de viajes compartidos</t>
    </r>
  </si>
  <si>
    <t>La Unidad de Transportes se encarga de planificar los viajes, brindando el servicio de viaje compartido para aquellas dependencias que comparten ruta.</t>
  </si>
  <si>
    <t>Planificar y documentar los viajes compartidos</t>
  </si>
  <si>
    <t>Carlos Quesada
Unidad de Transportes
Alejandra Vargas
Dirección de Campus Local San José</t>
  </si>
  <si>
    <t>Kilómetros recorridos de forma compartida</t>
  </si>
  <si>
    <t>Recurso humano para el seguimiento</t>
  </si>
  <si>
    <t>Las reducciones debido a la implementación de viajes compartidos, se estiman realizando la comparación de dos escenarios: uno en el que se realicen los viajes por aparte y otro en el que se comparta el vehículo.</t>
  </si>
  <si>
    <t>Mediano</t>
  </si>
  <si>
    <t>2024
2025</t>
  </si>
  <si>
    <r>
      <t>Reducir  al menos 2 T CO</t>
    </r>
    <r>
      <rPr>
        <vertAlign val="subscript"/>
        <sz val="12"/>
        <color rgb="FF000000"/>
        <rFont val="Franklin Gothic Book"/>
        <family val="2"/>
      </rPr>
      <t>2</t>
    </r>
    <r>
      <rPr>
        <sz val="12"/>
        <color rgb="FF000000"/>
        <rFont val="Franklin Gothic Book"/>
        <family val="2"/>
      </rPr>
      <t>e debido a la sustitución de luminarias</t>
    </r>
  </si>
  <si>
    <r>
      <t>Reducir 2 T CO</t>
    </r>
    <r>
      <rPr>
        <vertAlign val="subscript"/>
        <sz val="12"/>
        <color rgb="FF000000"/>
        <rFont val="Franklin Gothic Book"/>
        <family val="2"/>
      </rPr>
      <t>2</t>
    </r>
    <r>
      <rPr>
        <sz val="12"/>
        <color rgb="FF000000"/>
        <rFont val="Franklin Gothic Book"/>
        <family val="2"/>
      </rPr>
      <t>e durante el 2024 y 2025 debido a la sustitución de luminarias en la Institución</t>
    </r>
  </si>
  <si>
    <t>El Departamento de Administración de Mantenimiento realizará la sustitución de algunas luminarias en la Institución.</t>
  </si>
  <si>
    <t>Realizar la sustitución de luminarias en la Institución y reportar la información técnica correspondiente</t>
  </si>
  <si>
    <t>Marlon Cordero, Departamento de Administración de Mantenimiento</t>
  </si>
  <si>
    <t>2023
2024
2025</t>
  </si>
  <si>
    <r>
      <t>Reducir al menos 4 T CO</t>
    </r>
    <r>
      <rPr>
        <vertAlign val="subscript"/>
        <sz val="12"/>
        <color rgb="FF000000"/>
        <rFont val="Franklin Gothic Book"/>
        <family val="2"/>
      </rPr>
      <t>2</t>
    </r>
    <r>
      <rPr>
        <sz val="12"/>
        <color rgb="FF000000"/>
        <rFont val="Franklin Gothic Book"/>
        <family val="2"/>
      </rPr>
      <t>e debido a la gestión de residuos orgánicos.</t>
    </r>
  </si>
  <si>
    <t>Reducir 1,5 T CO2e durante el 2024 y 2025 debido al compostaje de residuos orgánicos.</t>
  </si>
  <si>
    <t>El proyecto pasa a una etapa de puesta en marcha, que aumenta la cantidad de residuos orgánicos compostados. Se incrementa la cantidad de residuos.</t>
  </si>
  <si>
    <t>Dar seguimiento a los indicadores de residuos compostados.</t>
  </si>
  <si>
    <t>Jhonny Granados, Operador MADI</t>
  </si>
  <si>
    <t xml:space="preserve">Recurso humano para el seguimiento </t>
  </si>
  <si>
    <t>6. Gestión Integrada de residuos</t>
  </si>
  <si>
    <t>Dar seguimiento a la contratación de transporte o recolección de residuos orgánicos.</t>
  </si>
  <si>
    <t>Contratación de transporte (aprox 1584000)</t>
  </si>
  <si>
    <r>
      <t>Reducir al menos 0,5 T CO</t>
    </r>
    <r>
      <rPr>
        <vertAlign val="subscript"/>
        <sz val="12"/>
        <color rgb="FF000000"/>
        <rFont val="Franklin Gothic Book"/>
        <family val="2"/>
      </rPr>
      <t>2</t>
    </r>
    <r>
      <rPr>
        <sz val="12"/>
        <color rgb="FF000000"/>
        <rFont val="Franklin Gothic Book"/>
        <family val="2"/>
      </rPr>
      <t>e debido a la gestión de residuos orgánicos</t>
    </r>
  </si>
  <si>
    <t>Reducir 0,5 T CO2e durante el 2025 debido al compostaje de residuos orgánicos.</t>
  </si>
  <si>
    <t>Compostar los residuos orgánicos generados en la soda del Centro Académico de Limón</t>
  </si>
  <si>
    <t>Centro Académico de Limón</t>
  </si>
  <si>
    <t>Realizar un piloto del compostaje de residuos orgánicos en el Centro Académico de Limón</t>
  </si>
  <si>
    <t>Ing. Raquel Mejías
GASEL</t>
  </si>
  <si>
    <t>kg de residuos orgánicos compostados</t>
  </si>
  <si>
    <r>
      <t>Reducir al menos 0,1 T CO</t>
    </r>
    <r>
      <rPr>
        <vertAlign val="subscript"/>
        <sz val="12"/>
        <color rgb="FF000000"/>
        <rFont val="Franklin Gothic Book"/>
        <family val="2"/>
      </rPr>
      <t>2</t>
    </r>
    <r>
      <rPr>
        <sz val="12"/>
        <color rgb="FF000000"/>
        <rFont val="Franklin Gothic Book"/>
        <family val="2"/>
      </rPr>
      <t>e durante el 2024 debido a la priorización del uso de bicicletas en la Unidad de Seguridad y Vigilancia y la dirección del Campus Local San José.</t>
    </r>
  </si>
  <si>
    <r>
      <rPr>
        <sz val="12"/>
        <color rgb="FF000000"/>
        <rFont val="Franklin Gothic Book"/>
        <family val="2"/>
      </rPr>
      <t>La Unidad de Gestión Ambiental y Seguridad Laboral adquirió bicicletas eléctricas para la movilidad de algunos puestos o funcionarios dentro de la Universidad. La Unidad de Seguridad y Vigilancia cuenta con</t>
    </r>
    <r>
      <rPr>
        <b/>
        <sz val="12"/>
        <color rgb="FF000000"/>
        <rFont val="Franklin Gothic Book"/>
        <family val="2"/>
      </rPr>
      <t xml:space="preserve"> </t>
    </r>
    <r>
      <rPr>
        <sz val="12"/>
        <color rgb="FF000000"/>
        <rFont val="Franklin Gothic Book"/>
        <family val="2"/>
      </rPr>
      <t xml:space="preserve">bicicletas que utiliza en los recorridos diarios dentro de las instalaciones de la Universidad, los cuáles previamente se realizaban en motocicletas. </t>
    </r>
  </si>
  <si>
    <t xml:space="preserve">Utilizar las bicicletas eléctricas para los recorridos </t>
  </si>
  <si>
    <t>Oficiales de la Unidad de Seguridad y Vigilancia
Chofer Dirección Campus Local San José</t>
  </si>
  <si>
    <r>
      <t>Reducir al menos 1 T CO</t>
    </r>
    <r>
      <rPr>
        <vertAlign val="subscript"/>
        <sz val="12"/>
        <color rgb="FF000000"/>
        <rFont val="Franklin Gothic Book"/>
        <family val="2"/>
      </rPr>
      <t>2</t>
    </r>
    <r>
      <rPr>
        <sz val="12"/>
        <color rgb="FF000000"/>
        <rFont val="Franklin Gothic Book"/>
        <family val="2"/>
      </rPr>
      <t>e durante el 2024 y 2025 debido a la implementación de viajes compartidos</t>
    </r>
  </si>
  <si>
    <t>Largo</t>
  </si>
  <si>
    <t>2026
2027</t>
  </si>
  <si>
    <r>
      <t>Reducir al menos 1 T CO</t>
    </r>
    <r>
      <rPr>
        <vertAlign val="subscript"/>
        <sz val="12"/>
        <color rgb="FF000000"/>
        <rFont val="Franklin Gothic Book"/>
        <family val="2"/>
      </rPr>
      <t>2</t>
    </r>
    <r>
      <rPr>
        <sz val="12"/>
        <color rgb="FF000000"/>
        <rFont val="Franklin Gothic Book"/>
        <family val="2"/>
      </rPr>
      <t>e durante el 2026 y 2027 debido a la implementación de viajes compartidos</t>
    </r>
  </si>
  <si>
    <t>Reducir al menos 1 T CO2e debido a la gestión de residuos orgánicos.</t>
  </si>
  <si>
    <t>Reducir 1 T CO2e durante el 2026 debido a la sustitución de sistemas de aires acondicionados de alto consumo energético</t>
  </si>
  <si>
    <t>Cambio de sistemas de aires acondicionados viejos de alto consumo energético</t>
  </si>
  <si>
    <t>Definir y priorizar los aires acondicionados que requieren cambio
Planificar las compras y búsqueda de recursos
Ejecutar el cambio de los aires acondicionados</t>
  </si>
  <si>
    <t>Cantidad de aires cambiados
kwh reducidos, potencia de nuevos equipos</t>
  </si>
  <si>
    <t>Las reducciones debido a la sustitución de aires acondicionados por otros más eficientes, se estiman realizando la comparación de dos escenarios: uno haciendo uso de aires acondicionados que se están eliminando (alto consumo energético) y otro haciendo uso de las aires acondicionaos que se están instalando y representan un menor consumo eléctrico. La diferencia de emisiones se considera la reducción. Para el uso es necesario considerar las fechas en las que se realizó la sustitución.</t>
  </si>
  <si>
    <t>Reducir 0,5 T  CO2e debido a la adquisición de vehículos más eficientes</t>
  </si>
  <si>
    <t>Reducir en un añ 0,5T CO2e debido a la adquisición de vehículos eléctricos en el Departamento de Administración de Mantenimiento.</t>
  </si>
  <si>
    <t>Adquirir por parte del Departamento de Administración de Mantenimiento el vehículo de Golf abandonado en la Clínica de Salud, invertir en su reparación y utilizarlo a nivel interno de la Institución como piloto para realizar viajes que requieren realizar por parte de su trabajo.</t>
  </si>
  <si>
    <t>Coordinar traslado del vehículo
Adquisición de insumos para reparación</t>
  </si>
  <si>
    <t>Marlón Cordero Camacho</t>
  </si>
  <si>
    <t>Compra de insumos para reparación
Km recorridos por el vehículo</t>
  </si>
  <si>
    <t>Se da seguimiento en las reuniones del equipo de GASEL y consultas de seguimiento al DAM</t>
  </si>
  <si>
    <t>Las reducciones debido a la adquisición del vehículo de gol en los recorridos de los funcionarios del Departamento de Administración de Mantenimiento, se estiman realizando la comparación de dos escenarios: uno recorriendo cierta cantidad de kilómetros en el pick up del DAM y el otro recorriendo esa misma cantidad de kilómetros en utilizando el vehículo eléctrico. Los kilómetros recorridos se tomarán del odómetro del vehículo eléctrico para el primer escenario se considerará el rendimiento del pick up que tiene el DAM.</t>
  </si>
  <si>
    <t>2024-2025</t>
  </si>
  <si>
    <t>Reducir 1 T  CO2e debido a la compra de más vehículos eficientes</t>
  </si>
  <si>
    <t>Reducir en un añ 1 T CO2e debido a la adquisición de vehículos eléctricos en el Departamento de Administración de Mantenimiento.</t>
  </si>
  <si>
    <t>Compra de dos vehículos eléctricos tipo golf</t>
  </si>
  <si>
    <t>Compra de nuevos vehículos
Km recorridos por cada vehículo</t>
  </si>
  <si>
    <t>Instituto Tecnológico de Costa Rica</t>
  </si>
  <si>
    <t>Documentación de las reducciones</t>
  </si>
  <si>
    <t>Vigencia: 2017-2021</t>
  </si>
  <si>
    <t>Mejora en la eficiencia de la Flotilla Vehicular Institucional</t>
  </si>
  <si>
    <t>Directriz de viajes compartidos</t>
  </si>
  <si>
    <t>Directriz de viajes al aeropuerto</t>
  </si>
  <si>
    <t>Registro de viajes compartidos 2018</t>
  </si>
  <si>
    <t>Metodología</t>
  </si>
  <si>
    <t>Medios Reales</t>
  </si>
  <si>
    <t>Las reducciones debidas al uso de carros  híbridos se realiza mediante el los kilómetros recorridos de los mismos, tomando en cuenta las emisiones de dióxido de carbono equivalente por kilómetro, estas se compararan con las emisiones por kilómetro del vehículo reemplazado.</t>
  </si>
  <si>
    <t>La Institución cuenta con una Unidad de Transportes que se encarga de la flotilla vehicular de la Institución. La Vicerrectoría de Administración mantiene una visión de reducción de emisiones y financia la compra de los vehículos</t>
  </si>
  <si>
    <t>Las reducciones debido a la implementación de la directriz de auto compartido en la Unidad de Transportes se cuantifican con la colaboración del coordinador de la Unidad de Transportes, quien copiará a la regente ambiental en los correos enviados a los viajantes acerca de los viajes compartidos, para de esta forma comparar las emisiones de dióxido de carbono equivalente generadas en el viaje compartido y las que se habrían generado de hacer viajes separados. La comparación se hara con el rendimiento del vehículo utilizado en litros de combustible por kilómetro, este rendimiento se calcula a partir de los datos de consumo de combustible y kilometraje de los últimos 6 meses del año, se asume que los valores alejados del promedio se eiliminan por erorres en los kilometrajes. Además se supone que en caso de hacer viajes separados se usaría el mismo vehículo para ambos viajes. Para los casos donde no se indique la cantidad de dependencias que comparten viaje, se asume un valor mínimo de 2 dependencias. Los kilometros por viaje se aproximarán mediante la aplicación WAZE o similar, en caso de haber más de una ruta probable se promedia la distancia.</t>
  </si>
  <si>
    <t>La Institución cuenta con una Unidad de Transportes comprometida en la reducción del consumo de combustible y una mejora en la eficiencia de este departamento. La Vicerrectoría de Administración apoya las directrices que contribuyan a la reducción de emisiones de gases con efecto invernadero</t>
  </si>
  <si>
    <t>La implementación de  la directriz de no trasladar funcionarios al aeropuerto se cuantifica teniendo como indicador base los viajes hechos al aeropuerto antes de implementada la directriz. Además se calculan las reducciones en toneladas de dióxido de carbono equivalente con la distancia en kilómetros al aeropuerto y el tipo de carro  enviado a dicha ruta, tomando en cuenta las emisiones de dióxido de carbono equivalente por kilómetro de cada vehículo.</t>
  </si>
  <si>
    <t>N° de viaje</t>
  </si>
  <si>
    <t>Fecha</t>
  </si>
  <si>
    <t>Salida</t>
  </si>
  <si>
    <t>Destino</t>
  </si>
  <si>
    <t>Placa</t>
  </si>
  <si>
    <r>
      <t>Emisiones del vehículo (kgCO</t>
    </r>
    <r>
      <rPr>
        <vertAlign val="subscript"/>
        <sz val="12"/>
        <color theme="1"/>
        <rFont val="Times New Roman"/>
        <family val="1"/>
      </rPr>
      <t>2</t>
    </r>
    <r>
      <rPr>
        <sz val="12"/>
        <color theme="1"/>
        <rFont val="Times New Roman"/>
        <family val="1"/>
      </rPr>
      <t>/km)</t>
    </r>
  </si>
  <si>
    <t>kilómetros recorridos (km)</t>
  </si>
  <si>
    <t>Cantidad de viajes compartidos</t>
  </si>
  <si>
    <r>
      <t>Emisiones sin compartir (kgCO</t>
    </r>
    <r>
      <rPr>
        <vertAlign val="subscript"/>
        <sz val="12"/>
        <color theme="1"/>
        <rFont val="Times New Roman"/>
        <family val="1"/>
      </rPr>
      <t>2</t>
    </r>
    <r>
      <rPr>
        <sz val="12"/>
        <color theme="1"/>
        <rFont val="Times New Roman"/>
        <family val="1"/>
      </rPr>
      <t>/viaje)</t>
    </r>
  </si>
  <si>
    <r>
      <t>Emisiones compartiendo (kgCO</t>
    </r>
    <r>
      <rPr>
        <vertAlign val="subscript"/>
        <sz val="12"/>
        <color theme="1"/>
        <rFont val="Times New Roman"/>
        <family val="1"/>
      </rPr>
      <t>2</t>
    </r>
    <r>
      <rPr>
        <sz val="12"/>
        <color theme="1"/>
        <rFont val="Times New Roman"/>
        <family val="1"/>
      </rPr>
      <t>/viaje)</t>
    </r>
  </si>
  <si>
    <r>
      <t>Emisiones evitadas (kgCO</t>
    </r>
    <r>
      <rPr>
        <vertAlign val="subscript"/>
        <sz val="12"/>
        <color theme="1"/>
        <rFont val="Times New Roman"/>
        <family val="1"/>
      </rPr>
      <t>2</t>
    </r>
    <r>
      <rPr>
        <sz val="12"/>
        <color theme="1"/>
        <rFont val="Times New Roman"/>
        <family val="1"/>
      </rPr>
      <t>/viaje)</t>
    </r>
  </si>
  <si>
    <t>TEC</t>
  </si>
  <si>
    <t>CONARE</t>
  </si>
  <si>
    <t>Justificación</t>
  </si>
  <si>
    <t>Cálculos</t>
  </si>
  <si>
    <t>La cuantificación de la reducción de emisiones debido al consumo de combustible por la compra de autos híbridos se realiza con la metodología mencionada debido a que por la naturaleza de la Institución y su constante crecimiento es poco probable notar una reducción significativa en el total de consumo de combustible.</t>
  </si>
  <si>
    <t>Vehículos eficientes</t>
  </si>
  <si>
    <t>Vehículos convencionales</t>
  </si>
  <si>
    <t>SAN CARLOS</t>
  </si>
  <si>
    <t>La cuantificación de la reducción de emisiones debido al consumo de combustible por la directriz de no trasladar funcionarios al aeropuerto se realiza con la metodología mencionada debido a que por la naturaleza de la Institución y su constante crecimiento es poco probable notar una reducción significativa en el total de consumo de combustible.</t>
  </si>
  <si>
    <t>Kilómetros recorridos(km)</t>
  </si>
  <si>
    <t>Año base (2017)</t>
  </si>
  <si>
    <t>Año actual</t>
  </si>
  <si>
    <r>
      <t>Emisiones reducidas           (Ton CO</t>
    </r>
    <r>
      <rPr>
        <b/>
        <vertAlign val="subscript"/>
        <sz val="12"/>
        <color theme="1"/>
        <rFont val="Times New Roman"/>
        <family val="1"/>
      </rPr>
      <t>2</t>
    </r>
    <r>
      <rPr>
        <b/>
        <sz val="12"/>
        <color theme="1"/>
        <rFont val="Times New Roman"/>
        <family val="1"/>
      </rPr>
      <t>/año)</t>
    </r>
  </si>
  <si>
    <t>Observaciones</t>
  </si>
  <si>
    <t>Kilometraje (km/año)</t>
  </si>
  <si>
    <r>
      <t>Emisiones (gCO</t>
    </r>
    <r>
      <rPr>
        <vertAlign val="subscript"/>
        <sz val="12"/>
        <color theme="1"/>
        <rFont val="Times New Roman"/>
        <family val="1"/>
      </rPr>
      <t>2</t>
    </r>
    <r>
      <rPr>
        <sz val="12"/>
        <color theme="1"/>
        <rFont val="Times New Roman"/>
        <family val="1"/>
      </rPr>
      <t>/km)</t>
    </r>
  </si>
  <si>
    <r>
      <t>Emisiones totales                  (kg CO</t>
    </r>
    <r>
      <rPr>
        <vertAlign val="subscript"/>
        <sz val="12"/>
        <color theme="1"/>
        <rFont val="Times New Roman"/>
        <family val="1"/>
      </rPr>
      <t>2</t>
    </r>
    <r>
      <rPr>
        <sz val="12"/>
        <color theme="1"/>
        <rFont val="Times New Roman"/>
        <family val="1"/>
      </rPr>
      <t>/vehículo)</t>
    </r>
  </si>
  <si>
    <t>Cantidad de viajes</t>
  </si>
  <si>
    <r>
      <t>Emisiones (kgCO</t>
    </r>
    <r>
      <rPr>
        <b/>
        <vertAlign val="subscript"/>
        <sz val="12"/>
        <color theme="1"/>
        <rFont val="Times New Roman"/>
        <family val="1"/>
      </rPr>
      <t>2</t>
    </r>
    <r>
      <rPr>
        <b/>
        <sz val="12"/>
        <color theme="1"/>
        <rFont val="Times New Roman"/>
        <family val="1"/>
      </rPr>
      <t xml:space="preserve">/año) </t>
    </r>
  </si>
  <si>
    <t>La elección de los vehículos a tomar fue una decisión en conjunto con la Unidad de Transportes y la Vicerrectoría de Administración, encontrando un vehículo que se ajuste a las necesidades actuales y los medios con los que se cuentan.</t>
  </si>
  <si>
    <t>265-254</t>
  </si>
  <si>
    <t>265-084</t>
  </si>
  <si>
    <t>La cuantificación de la reducción de emisiones debido al consumo de combustible por la directriz de auto compartido en la Unidad de Transportes se realiza con la metodología mencionada debido a que por la naturaleza de la Institución y su constante crecimiento es poco probable notar una reducción significativa en el total de consumo de combustible</t>
  </si>
  <si>
    <t>Viajes Compartidos</t>
  </si>
  <si>
    <t>CONARE - CENAT</t>
  </si>
  <si>
    <t>265-261</t>
  </si>
  <si>
    <t>165-088</t>
  </si>
  <si>
    <t>Cantidad</t>
  </si>
  <si>
    <t>Unidad</t>
  </si>
  <si>
    <t>Emisiones reducidas</t>
  </si>
  <si>
    <t>265-258</t>
  </si>
  <si>
    <t>265-094</t>
  </si>
  <si>
    <t>viajes compartidos/año</t>
  </si>
  <si>
    <r>
      <t>kg CO</t>
    </r>
    <r>
      <rPr>
        <vertAlign val="subscript"/>
        <sz val="12"/>
        <color theme="1"/>
        <rFont val="Times New Roman"/>
        <family val="1"/>
      </rPr>
      <t>2</t>
    </r>
    <r>
      <rPr>
        <sz val="12"/>
        <color theme="1"/>
        <rFont val="Times New Roman"/>
        <family val="1"/>
      </rPr>
      <t>/año</t>
    </r>
  </si>
  <si>
    <t>CASJ</t>
  </si>
  <si>
    <t>Porcentaje de reducción</t>
  </si>
  <si>
    <t>265-260</t>
  </si>
  <si>
    <t>265-132</t>
  </si>
  <si>
    <r>
      <t>CO</t>
    </r>
    <r>
      <rPr>
        <vertAlign val="subscript"/>
        <sz val="12"/>
        <color theme="1"/>
        <rFont val="Times New Roman"/>
        <family val="1"/>
      </rPr>
      <t>2</t>
    </r>
    <r>
      <rPr>
        <sz val="12"/>
        <color theme="1"/>
        <rFont val="Times New Roman"/>
        <family val="1"/>
      </rPr>
      <t xml:space="preserve"> Reducido (Ton CO</t>
    </r>
    <r>
      <rPr>
        <vertAlign val="subscript"/>
        <sz val="12"/>
        <color theme="1"/>
        <rFont val="Times New Roman"/>
        <family val="1"/>
      </rPr>
      <t>2eq</t>
    </r>
    <r>
      <rPr>
        <sz val="12"/>
        <color theme="1"/>
        <rFont val="Times New Roman"/>
        <family val="1"/>
      </rPr>
      <t>/año)</t>
    </r>
  </si>
  <si>
    <t>Reducción</t>
  </si>
  <si>
    <t>-</t>
  </si>
  <si>
    <t>Valor</t>
  </si>
  <si>
    <r>
      <t>Ton CO</t>
    </r>
    <r>
      <rPr>
        <vertAlign val="subscript"/>
        <sz val="12"/>
        <color theme="1"/>
        <rFont val="Times New Roman"/>
        <family val="1"/>
      </rPr>
      <t>2eq</t>
    </r>
    <r>
      <rPr>
        <sz val="12"/>
        <color theme="1"/>
        <rFont val="Times New Roman"/>
        <family val="1"/>
      </rPr>
      <t>/año</t>
    </r>
  </si>
  <si>
    <t>Dirección de la evidencia</t>
  </si>
  <si>
    <t xml:space="preserve"> </t>
  </si>
  <si>
    <t>LIMÓN</t>
  </si>
  <si>
    <t>Desempeño</t>
  </si>
  <si>
    <t>Población institucional (personas)</t>
  </si>
  <si>
    <r>
      <t>Emisiones (TonCO</t>
    </r>
    <r>
      <rPr>
        <vertAlign val="subscript"/>
        <sz val="12"/>
        <color theme="1"/>
        <rFont val="Times New Roman"/>
        <family val="1"/>
      </rPr>
      <t>2eq</t>
    </r>
    <r>
      <rPr>
        <sz val="12"/>
        <color theme="1"/>
        <rFont val="Times New Roman"/>
        <family val="1"/>
      </rPr>
      <t>/año)</t>
    </r>
  </si>
  <si>
    <r>
      <t>Cociente productividad/eficiencia                                   (TonCO</t>
    </r>
    <r>
      <rPr>
        <vertAlign val="subscript"/>
        <sz val="12"/>
        <color theme="1"/>
        <rFont val="Times New Roman"/>
        <family val="1"/>
      </rPr>
      <t>2eq</t>
    </r>
    <r>
      <rPr>
        <sz val="12"/>
        <color theme="1"/>
        <rFont val="Times New Roman"/>
        <family val="1"/>
      </rPr>
      <t>/año/personas)</t>
    </r>
  </si>
  <si>
    <t>CICAP - CASJ</t>
  </si>
  <si>
    <t>Estudiantes</t>
  </si>
  <si>
    <t>Funcionarios</t>
  </si>
  <si>
    <t>UCR-UNED</t>
  </si>
  <si>
    <t>Registro de viajes al aeropuerto</t>
  </si>
  <si>
    <t>CETT</t>
  </si>
  <si>
    <t>N° de boleta</t>
  </si>
  <si>
    <r>
      <t>Emisiones del vehículo (kgCO</t>
    </r>
    <r>
      <rPr>
        <vertAlign val="subscript"/>
        <sz val="12"/>
        <color theme="1"/>
        <rFont val="Times New Roman"/>
        <family val="1"/>
      </rPr>
      <t>2</t>
    </r>
    <r>
      <rPr>
        <sz val="12"/>
        <color theme="1"/>
        <rFont val="Times New Roman"/>
        <family val="1"/>
      </rPr>
      <t>/vehículo)</t>
    </r>
  </si>
  <si>
    <r>
      <t>Emisiones  (kgCO</t>
    </r>
    <r>
      <rPr>
        <vertAlign val="subscript"/>
        <sz val="12"/>
        <color theme="1"/>
        <rFont val="Times New Roman"/>
        <family val="1"/>
      </rPr>
      <t>2</t>
    </r>
    <r>
      <rPr>
        <sz val="12"/>
        <color theme="1"/>
        <rFont val="Times New Roman"/>
        <family val="1"/>
      </rPr>
      <t>/viaje)</t>
    </r>
  </si>
  <si>
    <t>Las reducciones debidas al uso de carros  híbridos se realiza mediante el los kilómetros recorridos de los mismos, tomando en cuenta las emisiones de dióxido de carbono equivalente por kilómetro (obtenidas del sitio fuel economy), estas se compararan con las emisiones por kilómetro (obtenidas del sitio fuel economy) del vehículo reemplazado.</t>
  </si>
  <si>
    <t>La Institución cuenta con una Unidad de Transportes que se encarga de la flotilla vehicular de la Institución. La Vicerrectoría de Administración mantiene una visión de reducción de emisiones y financia la compra de los vehícul</t>
  </si>
  <si>
    <t>UCR</t>
  </si>
  <si>
    <r>
      <t>Emisiones totales  
(kg CO</t>
    </r>
    <r>
      <rPr>
        <vertAlign val="subscript"/>
        <sz val="12"/>
        <color theme="1"/>
        <rFont val="Times New Roman"/>
        <family val="1"/>
      </rPr>
      <t>2</t>
    </r>
    <r>
      <rPr>
        <sz val="12"/>
        <color theme="1"/>
        <rFont val="Times New Roman"/>
        <family val="1"/>
      </rPr>
      <t>/año/ vehículo)</t>
    </r>
  </si>
  <si>
    <t>F:\Carbono Neutro TEC\Cartago\Evidencias\2018\Reducciones\Combustible</t>
  </si>
  <si>
    <t>Emisiones de combustibles fósciles
Año base (2017)</t>
  </si>
  <si>
    <t>% Reducción</t>
  </si>
  <si>
    <t>Año base (2019</t>
  </si>
  <si>
    <t>MICIT</t>
  </si>
  <si>
    <r>
      <t>Emisiones totales
 (kg CO</t>
    </r>
    <r>
      <rPr>
        <vertAlign val="subscript"/>
        <sz val="12"/>
        <color theme="1"/>
        <rFont val="Times New Roman"/>
        <family val="1"/>
      </rPr>
      <t>2</t>
    </r>
    <r>
      <rPr>
        <sz val="12"/>
        <color theme="1"/>
        <rFont val="Times New Roman"/>
        <family val="1"/>
      </rPr>
      <t>/vehículo)</t>
    </r>
  </si>
  <si>
    <t>HOTEL DOUBLE TREE</t>
  </si>
  <si>
    <t>CENTRO DE CONVENCIONES DE CR</t>
  </si>
  <si>
    <t>Registro de viajes compartidos 2019</t>
  </si>
  <si>
    <t>CTLSC</t>
  </si>
  <si>
    <t>265-198</t>
  </si>
  <si>
    <t>Conare</t>
  </si>
  <si>
    <t>265-201</t>
  </si>
  <si>
    <t>265-157</t>
  </si>
  <si>
    <t>265-245</t>
  </si>
  <si>
    <r>
      <t>Emisiones totales 
(kg CO</t>
    </r>
    <r>
      <rPr>
        <vertAlign val="subscript"/>
        <sz val="12"/>
        <color theme="1"/>
        <rFont val="Times New Roman"/>
        <family val="1"/>
      </rPr>
      <t>2</t>
    </r>
    <r>
      <rPr>
        <sz val="12"/>
        <color theme="1"/>
        <rFont val="Times New Roman"/>
        <family val="1"/>
      </rPr>
      <t>/vehículo)</t>
    </r>
  </si>
  <si>
    <t>265-211</t>
  </si>
  <si>
    <t>265-167</t>
  </si>
  <si>
    <t>Año base (2020)</t>
  </si>
  <si>
    <t>265-224</t>
  </si>
  <si>
    <t>265-171</t>
  </si>
  <si>
    <t>CAL</t>
  </si>
  <si>
    <t>265-156</t>
  </si>
  <si>
    <t>265-179</t>
  </si>
  <si>
    <t>CTLSJ</t>
  </si>
  <si>
    <t>265-155</t>
  </si>
  <si>
    <t>265-252</t>
  </si>
  <si>
    <t>01. Cartago\03. Evidencias\2020\01. Reducciones\Viajes Compartidos</t>
  </si>
  <si>
    <t>265-212</t>
  </si>
  <si>
    <t>265-271</t>
  </si>
  <si>
    <t>265-269</t>
  </si>
  <si>
    <t>UNED</t>
  </si>
  <si>
    <t>265-151</t>
  </si>
  <si>
    <t>265-227</t>
  </si>
  <si>
    <t>265-270</t>
  </si>
  <si>
    <t>**Los viajes que repiten fecha y lugar son de diferentes entidades y a diferente hora.</t>
  </si>
  <si>
    <t>Resumen de cumplimiento</t>
  </si>
  <si>
    <t>**Los viajes a San Carlos se cuentan por persona notificada en el correo</t>
  </si>
  <si>
    <r>
      <t>Meta (T CO</t>
    </r>
    <r>
      <rPr>
        <b/>
        <vertAlign val="subscript"/>
        <sz val="12"/>
        <color theme="1"/>
        <rFont val="Times New Roman"/>
        <family val="1"/>
      </rPr>
      <t>2</t>
    </r>
    <r>
      <rPr>
        <b/>
        <sz val="12"/>
        <color theme="1"/>
        <rFont val="Times New Roman"/>
        <family val="1"/>
      </rPr>
      <t>e)</t>
    </r>
  </si>
  <si>
    <t>Registro de viajes compartidos 2020</t>
  </si>
  <si>
    <t>Cumplimiento</t>
  </si>
  <si>
    <r>
      <t>T CO</t>
    </r>
    <r>
      <rPr>
        <vertAlign val="subscript"/>
        <sz val="12"/>
        <color theme="1"/>
        <rFont val="Times New Roman"/>
        <family val="1"/>
      </rPr>
      <t>2</t>
    </r>
    <r>
      <rPr>
        <sz val="12"/>
        <color theme="1"/>
        <rFont val="Times New Roman"/>
        <family val="1"/>
      </rPr>
      <t>e</t>
    </r>
  </si>
  <si>
    <t>%</t>
  </si>
  <si>
    <t>Registro de viajes compartidos 2021</t>
  </si>
  <si>
    <t>Durante el año 2021, no hubieron viajes compartidos según Correo Viajes compartidos 2021</t>
  </si>
  <si>
    <t>Registro de viajes compartidos 2022</t>
  </si>
  <si>
    <t xml:space="preserve">Cantidad de viajes compartidos </t>
  </si>
  <si>
    <t>265-236</t>
  </si>
  <si>
    <t>265-216</t>
  </si>
  <si>
    <t>Campus Tecnológico de San Carlos</t>
  </si>
  <si>
    <t>Colegio Metodista</t>
  </si>
  <si>
    <t>265-246</t>
  </si>
  <si>
    <t>Registro de viajes compartidos 2023</t>
  </si>
  <si>
    <t>ID de viaje</t>
  </si>
  <si>
    <t>265 - 252</t>
  </si>
  <si>
    <t>CFIA</t>
  </si>
  <si>
    <t>265 - 211</t>
  </si>
  <si>
    <t>265 - 270</t>
  </si>
  <si>
    <t>265 - 260</t>
  </si>
  <si>
    <t>265 - 236</t>
  </si>
  <si>
    <t>265 - 156</t>
  </si>
  <si>
    <t>265 - 212</t>
  </si>
  <si>
    <t>265 - 198</t>
  </si>
  <si>
    <t>UTN</t>
  </si>
  <si>
    <t>265 - 269</t>
  </si>
  <si>
    <t>265 - 246</t>
  </si>
  <si>
    <t>265 - 157</t>
  </si>
  <si>
    <t>265-178</t>
  </si>
  <si>
    <t>265-195</t>
  </si>
  <si>
    <t>Hotel Radison</t>
  </si>
  <si>
    <t>OC Aproximadamente fue de Setiembre</t>
  </si>
  <si>
    <t>Cuadro 1. Datos requeridos sobre la instalación de las nuevas luminarias.</t>
  </si>
  <si>
    <t>Consideraciones</t>
  </si>
  <si>
    <t>Las lámparas se usan aproximadamente 12h/día</t>
  </si>
  <si>
    <t>Horas de uso</t>
  </si>
  <si>
    <t>Detalle</t>
  </si>
  <si>
    <t>Reemplazo</t>
  </si>
  <si>
    <t>Nueva</t>
  </si>
  <si>
    <t>Ahorro KWh/2022</t>
  </si>
  <si>
    <t>Cantidad luminarias</t>
  </si>
  <si>
    <t>Eficiencia</t>
  </si>
  <si>
    <t>Potencia</t>
  </si>
  <si>
    <t>KWh/dia/lámpara</t>
  </si>
  <si>
    <t>KWh/dia total</t>
  </si>
  <si>
    <t>12 horas por día (6pm a 6 am)</t>
  </si>
  <si>
    <t>110 Lum/W</t>
  </si>
  <si>
    <t>120 Lum/W</t>
  </si>
  <si>
    <t>No indica en ficha técnica</t>
  </si>
  <si>
    <t>Subtotal</t>
  </si>
  <si>
    <t>Horas de uso  al día</t>
  </si>
  <si>
    <t>Cantidad de luminarias</t>
  </si>
  <si>
    <t>Tipo luminaria</t>
  </si>
  <si>
    <t>Potencia luminaria vieja (Watts)</t>
  </si>
  <si>
    <t>Potencia luminaria nueva (Watts)</t>
  </si>
  <si>
    <t>Consumo anterior_Lámpara vieja  (KWh/día)</t>
  </si>
  <si>
    <t>Consumo actual_Lámpara nueva(KWh/dia)</t>
  </si>
  <si>
    <t>Ahorro (kWh/año)</t>
  </si>
  <si>
    <t>Para parques y áreas comunes</t>
  </si>
  <si>
    <t>Luminarias solares</t>
  </si>
  <si>
    <t>Total=</t>
  </si>
  <si>
    <t>Datos 2023 Pick up DAM</t>
  </si>
  <si>
    <t>Consumo combustible (L)</t>
  </si>
  <si>
    <t>Tipo combustible</t>
  </si>
  <si>
    <t>Km Inicial</t>
  </si>
  <si>
    <t>Km final</t>
  </si>
  <si>
    <t>Km recorridos</t>
  </si>
  <si>
    <t>265-170</t>
  </si>
  <si>
    <t>DIE</t>
  </si>
  <si>
    <t>Rendimiento (km/L)</t>
  </si>
  <si>
    <t xml:space="preserve">Cálculo de las reducciones </t>
  </si>
  <si>
    <t>Km recorridos por las bicicletas en el carro de golf</t>
  </si>
  <si>
    <t>Factor emisión electricidad (kg CO2 e/kWh)</t>
  </si>
  <si>
    <t>Factor emisión diesel (kg CO2 e/L)</t>
  </si>
  <si>
    <t>Transporte terrestre/diesel/sin catalizador (kgCH4/L Combustible)</t>
  </si>
  <si>
    <t>Transporte terrestre/diesel/sin catalizador (kg N2O / L Combustible)</t>
  </si>
  <si>
    <t>Emisiones por uso vehículo eléctrico</t>
  </si>
  <si>
    <t>Consumo energético en las recargas mensuales (kWh)</t>
  </si>
  <si>
    <t>recarga</t>
  </si>
  <si>
    <t>Emisiones de CO2e (kg)</t>
  </si>
  <si>
    <t>Emisiones de CO2e (kg) totales en el 2023</t>
  </si>
  <si>
    <t>Emisiones evitadas en vehículo pick up</t>
  </si>
  <si>
    <t>Consumo combustible si viaje hubiera sido en el pick up del DAM (L)</t>
  </si>
  <si>
    <t>Emisiones de CO2 e (kg)</t>
  </si>
  <si>
    <t>Reducciones</t>
  </si>
  <si>
    <t>kg CO2 eq</t>
  </si>
  <si>
    <t>tCO2 eq</t>
  </si>
  <si>
    <t>Recorridos en bicicleta</t>
  </si>
  <si>
    <t>Mes</t>
  </si>
  <si>
    <t>Día</t>
  </si>
  <si>
    <t>Distancia recorrida (km)</t>
  </si>
  <si>
    <t>Enero</t>
  </si>
  <si>
    <t>Setiembre</t>
  </si>
  <si>
    <t>Octubre</t>
  </si>
  <si>
    <t>Noviembre</t>
  </si>
  <si>
    <t>Diciembre</t>
  </si>
  <si>
    <t>febrero</t>
  </si>
  <si>
    <t>marzo</t>
  </si>
  <si>
    <t>Consumo (L)</t>
  </si>
  <si>
    <t>Nota: Se utiliza rendimiento con datos del 2022, ya que es el dato del estudio más actualizado. Según conversación con el coordinador de la Unidad USEVI, Gerson Hernández, el mes de setiembre es el que presenta la mayor exactitud de los registros. Están completos. Por lo que se utiliza el rendimiento de este mes para realizar los cálculos</t>
  </si>
  <si>
    <t>septiembre</t>
  </si>
  <si>
    <t>octubre</t>
  </si>
  <si>
    <t>noviembre</t>
  </si>
  <si>
    <t>diciembre</t>
  </si>
  <si>
    <t xml:space="preserve">abril </t>
  </si>
  <si>
    <t>Promedio</t>
  </si>
  <si>
    <t>abril</t>
  </si>
  <si>
    <t>Km recorridos por las bicicletas en el 2022</t>
  </si>
  <si>
    <t>mayo</t>
  </si>
  <si>
    <t>Factor emisión gasolina(kg CO2 e/L)</t>
  </si>
  <si>
    <t>Transporte terrestre/gasolina/con catalizador (kgCH4/L Combustible)</t>
  </si>
  <si>
    <t>Transporte terrestre/gasolina/con catalizador (kg N2O / L Combustible)</t>
  </si>
  <si>
    <t>julio</t>
  </si>
  <si>
    <t>Especificaciones de la bicicleta</t>
  </si>
  <si>
    <t>Batería (watts)</t>
  </si>
  <si>
    <t>Autonomía promedio (km)</t>
  </si>
  <si>
    <t>Duración de carga (h)</t>
  </si>
  <si>
    <r>
      <rPr>
        <b/>
        <sz val="11"/>
        <color theme="1"/>
        <rFont val="Calibri"/>
        <family val="2"/>
        <scheme val="minor"/>
      </rPr>
      <t xml:space="preserve">Fuente de información: </t>
    </r>
    <r>
      <rPr>
        <sz val="11"/>
        <color theme="1"/>
        <rFont val="Arial"/>
        <family val="2"/>
      </rPr>
      <t xml:space="preserve"> https://gwbicycles.com/products/bicicleta-electrica-bogota-gw </t>
    </r>
  </si>
  <si>
    <t>Emisiones por uso de las bicis</t>
  </si>
  <si>
    <t>Julio</t>
  </si>
  <si>
    <t>Cantidad de recargas</t>
  </si>
  <si>
    <t>Consumo energético en las recargas (kWh)</t>
  </si>
  <si>
    <t>Agosto</t>
  </si>
  <si>
    <t>Emisiones evitadas en las motos</t>
  </si>
  <si>
    <t>Consumo combustible si viaje hubiera sido en motos (L)</t>
  </si>
  <si>
    <t>Total recorrido</t>
  </si>
  <si>
    <t>Proyecto: Implementación directriz auto compartido</t>
  </si>
  <si>
    <t xml:space="preserve">Evidencia de los recursos </t>
  </si>
  <si>
    <t>Justificación de metodología</t>
  </si>
  <si>
    <t xml:space="preserve">Supuestos </t>
  </si>
  <si>
    <t xml:space="preserve">
Se supone que la información brindada por parte de la Unidad de Transportes es fidedigna.
</t>
  </si>
  <si>
    <t>Periodo escogido para medir la reducción</t>
  </si>
  <si>
    <r>
      <t>t CO2</t>
    </r>
    <r>
      <rPr>
        <b/>
        <vertAlign val="subscript"/>
        <sz val="12"/>
        <color theme="0"/>
        <rFont val="Franklin Gothic Book"/>
        <family val="2"/>
      </rPr>
      <t>eq</t>
    </r>
    <r>
      <rPr>
        <b/>
        <sz val="12"/>
        <color theme="0"/>
        <rFont val="Franklin Gothic Book"/>
        <family val="2"/>
      </rPr>
      <t xml:space="preserve"> reducidas en el periodo</t>
    </r>
  </si>
  <si>
    <t>Indicadores de desempeño</t>
  </si>
  <si>
    <t>Generación por año</t>
  </si>
  <si>
    <t>T CO2e</t>
  </si>
  <si>
    <t>Proyecto: Adquisición de carro de golf para actividades de traslado del DAM</t>
  </si>
  <si>
    <t>El Departamento de Administración de Mantenimiento (DAM) realizó las gestiones para adquirir y reparar un vehículo que era de otra entidad y estaba sin uso debido a que no funcionaba. El DAM mediante el odómentro, permite evidenciar la cantidad de recorridos que realiza el vehículo eléctrico de manera anual. La adquisición del activo y su reparación se dio en el 2023. 
La adquisición y reparación del vehículo ha permitido evitar emisiones que se hubieran dado en caso de utilizar el vehículo de combustión fósil del Departamento. 
Las reducciones debido al uso del vehículo eléctrico en vez del vehículo de combustión fósil se realiza comparando las emisiones que se generan al utilizar el vehículo eléctrico cuando se carga versus las emisiones que se generarían si ese recorrido se hubiera hecho utilizando el pick up de diesel. Las reducciones se calculan restando el valor de emisiones si se hubira usadoel pick up menos el valor de las emisiones que se generan al cargar el vehículo eléctrico.</t>
  </si>
  <si>
    <t>Se evidencia la factura de pago para reparación del vehículo. Evidencias se pueden ver en el siguiente link: https://tecnube1-my.sharepoint.com/:f:/g/personal/ga_itcr_ac_cr/EiQt6VrP9vVOuEAbjuRbcT4BFb0t10MTwuSCoIAr5GRN1Q?e=xPidhT</t>
  </si>
  <si>
    <t>Se empleó dicha metodología debido a que se cuenta condatos de recorridos y eficiencias que permiten determinar las emisiones.</t>
  </si>
  <si>
    <t xml:space="preserve">
Se supone que la información brindada por parte del DAM es fidedigna.
</t>
  </si>
  <si>
    <t>Emisiones vehículo eléctrico</t>
  </si>
  <si>
    <r>
      <t>kg CO</t>
    </r>
    <r>
      <rPr>
        <vertAlign val="subscript"/>
        <sz val="12"/>
        <rFont val="Franklin Gothic Book"/>
        <family val="2"/>
      </rPr>
      <t>2</t>
    </r>
    <r>
      <rPr>
        <sz val="12"/>
        <rFont val="Franklin Gothic Book"/>
        <family val="2"/>
      </rPr>
      <t>e</t>
    </r>
  </si>
  <si>
    <t>Emisiones pick up</t>
  </si>
  <si>
    <r>
      <t>T CO</t>
    </r>
    <r>
      <rPr>
        <vertAlign val="subscript"/>
        <sz val="12"/>
        <rFont val="Franklin Gothic Book"/>
        <family val="2"/>
      </rPr>
      <t>2</t>
    </r>
    <r>
      <rPr>
        <sz val="12"/>
        <rFont val="Franklin Gothic Book"/>
        <family val="2"/>
      </rPr>
      <t>e</t>
    </r>
  </si>
  <si>
    <t>Proyecto: Priorización de bicicletas eléctricas en vez de motos para hacer recorridos.</t>
  </si>
  <si>
    <t xml:space="preserve">Se cuenta con bicicletas eléctricas, sin embargo, se dio las indicaciones de que siempre que sea posible se priorice el uso de las bicicletas eléctricas en vez de las motos para evitar en lo posible el consumo de combustible fósil.
Las reducciones debido al uso de las bicicletas eléctricas en vez de motos  se realiza comparando las emisiones que se generan al utilizar las bicicletas cuando se cargan versus las emisiones que se generarían si ese recorrido se hubiera hecho utilizando motocicletas. Las reducciones se calculan restando el valor de emisiones si se hubiran usado las motos menos el valor de las emisiones que se generan al cargar las bicicletas.
</t>
  </si>
  <si>
    <r>
      <t xml:space="preserve">La Institución cuenta con la Unidad de Seguridad y Vigilancia comprometida en la reducción del consumo de combustible y una mejora en la eficiencia de este departamento. La Vicerrectoría de Administración apoya las directrices que contribuyan a la reducción de emisiones de gases con efecto invernadero
Esta Unidad lleva actualizada la información de los viajes realizados.
</t>
    </r>
    <r>
      <rPr>
        <b/>
        <sz val="12"/>
        <color rgb="FF000000"/>
        <rFont val="Franklin Gothic Book"/>
        <family val="2"/>
      </rPr>
      <t>Evidencias:</t>
    </r>
  </si>
  <si>
    <t xml:space="preserve">Se empleó dicha metodología debido a que se cuenta con los datos del GPS  que permiten conocer la cantidad de kilómetros recorridos. </t>
  </si>
  <si>
    <t>Se supone que la batería dura 6h cargando. Se asume una autonomía promedio de 42,5 km. Se asume caracterísitcas similares a ficha técnica encontrada.</t>
  </si>
  <si>
    <r>
      <t>t CO</t>
    </r>
    <r>
      <rPr>
        <b/>
        <vertAlign val="subscript"/>
        <sz val="12"/>
        <color theme="0"/>
        <rFont val="Franklin Gothic Book"/>
        <family val="2"/>
      </rPr>
      <t>2</t>
    </r>
    <r>
      <rPr>
        <b/>
        <sz val="12"/>
        <color theme="0"/>
        <rFont val="Franklin Gothic Book"/>
        <family val="2"/>
      </rPr>
      <t>e reducidas en el periodo</t>
    </r>
  </si>
  <si>
    <t>Km recorridos por las bicicletas/año</t>
  </si>
  <si>
    <t>km</t>
  </si>
  <si>
    <t>Proyecto: Sustitución de luminarias</t>
  </si>
  <si>
    <t>Las reducciones debido al cambio de lumnarias se realizan comparando las emisiones de dos escenarios: uno en el que se calcula el consumo de kWh utilizando las luminarias anteriores y  otro en que se calcula el consumo de kWh con las nuevas lumnarias, por la misma cantidad de tiempo en ambos escenarios. La diferencia de emisiones se considera la reducción. 
También se da el caso del escanario en el que se compara la compra de una luminaria solar que implica una no conexión con la red pública, pero que representa un gasto mayor, en comparación con una luminaria comercial que generalmente es utilizada en estas situaciones, pero representa un consumo mayor debido a que deben ser conectadas a la red pública.</t>
  </si>
  <si>
    <t>El recurso para el proyecto ha sido asumido por la Vicerrectoría de Administración quien proporciona los recursos. Además, el cambio de lumnarias está a cargo del Departamento de Mantenimiento (DAM). 
Evidencia se encuentra en: https://tecnube1-my.sharepoint.com/:f:/g/personal/ga_itcr_ac_cr/EhM6UXmNaiFAhTlIXtxVel4B72O3G5N0y-ZKpcvYpTPn0A?e=33mFHM</t>
  </si>
  <si>
    <t>Se empleó dicha metodología debido a que se cuenta con los valores técnicos de consumo y de uso de las luminarias que permiten estimar las emisiones evitadas.</t>
  </si>
  <si>
    <t>Se supone que el las horas de uso se mantienen y no varían con los años. 
Se supone que las lámparas de los parques existentes antes del cambio son de 80 W, tal como lo indicado por el DAM.
Se supone que de no haberse contado con presupuesto suficiente para la compra de las lámparas solares se hubiesen adquirido las lámparas de ese tipo más comerciales, los cuales son de 108 W</t>
  </si>
  <si>
    <t xml:space="preserve">Resultado </t>
  </si>
  <si>
    <t>Ahorro (kWh/2022)
Octubre-Noviembre y diciembre</t>
  </si>
  <si>
    <t>100 luminarias de 240 W por 108 W</t>
  </si>
  <si>
    <t>25 luminarias de 295 W a 108 W</t>
  </si>
  <si>
    <t>6 luminarias de parques y áreas comunes</t>
  </si>
  <si>
    <t>6 luminarias solares</t>
  </si>
  <si>
    <t>Reducción total (KWh)</t>
  </si>
  <si>
    <t>Cambio de luminarias (kWh)</t>
  </si>
  <si>
    <t>Factor emisión (kg CO2 e/kWh)</t>
  </si>
  <si>
    <t>Reducción total (t CO2e)</t>
  </si>
  <si>
    <t>Proyecto: Definición y ejecución de un sistema definitivo de Compostaje de residuos orgánicos en el Restaurante Institucional y las Residencias Estudiantiles</t>
  </si>
  <si>
    <t>Para el caso de las emisiones evitadas debido a la gestión de residuos orgánicos mediante compostaje, estas se estimaron a partir de la cantidad de residuos orgánicos gestionados y comparando dos escenarios: uno con el factor de emisión de gestión en relleno sanitario y otro con los factores correspondientes al compostaje. Ambos factores publicados por el Instituto Meteorológico Nacional.</t>
  </si>
  <si>
    <r>
      <rPr>
        <sz val="12"/>
        <color rgb="FF000000"/>
        <rFont val="Franklin Gothic Book"/>
        <family val="2"/>
      </rPr>
      <t xml:space="preserve">El equipo de compostaje tuvo un costo de 25 millones de colones. Además, para el desarrollo del proyecto es necesario recurso humano para capacitar en la correcta separación de residuos, segregar los desechos, trasladarlos, triturarlos y compostarlos. El recurso para el proyecto ha sido asumido por la Vicerrectoría de Administración y la GASEL.
</t>
    </r>
    <r>
      <rPr>
        <b/>
        <sz val="12"/>
        <color rgb="FF000000"/>
        <rFont val="Franklin Gothic Book"/>
        <family val="2"/>
      </rPr>
      <t>Evidencias:</t>
    </r>
    <r>
      <rPr>
        <sz val="12"/>
        <color rgb="FF000000"/>
        <rFont val="Franklin Gothic Book"/>
        <family val="2"/>
      </rPr>
      <t xml:space="preserve"> https://tecnube1-my.sharepoint.com/:f:/g/personal/ga_itcr_ac_cr/EusBmkAFB4pMuZ1ewCq0kigBDgqQS3RbS3uXD7lUf_HxvA?e=id3xWB</t>
    </r>
  </si>
  <si>
    <t xml:space="preserve">Esta metodología se emplea con el fin de estimar las emisiones evitadas, debido a que se cuenta con los datos de la cantidad de material orgánico compostado. </t>
  </si>
  <si>
    <t>Se supone que el dato de la cantidad de residuos orgánicos compostados reportado por el operador del centro de acopio es correcto.</t>
  </si>
  <si>
    <t>Residuos compostados</t>
  </si>
  <si>
    <t>kg</t>
  </si>
  <si>
    <t xml:space="preserve">Factor de emisión </t>
  </si>
  <si>
    <t>Compostaje</t>
  </si>
  <si>
    <r>
      <t>kg CH</t>
    </r>
    <r>
      <rPr>
        <vertAlign val="subscript"/>
        <sz val="12"/>
        <color theme="1"/>
        <rFont val="Franklin Gothic Book"/>
        <family val="2"/>
      </rPr>
      <t>4</t>
    </r>
    <r>
      <rPr>
        <sz val="12"/>
        <color theme="1"/>
        <rFont val="Franklin Gothic Book"/>
        <family val="2"/>
      </rPr>
      <t>/kg residuos</t>
    </r>
  </si>
  <si>
    <r>
      <t>kg N</t>
    </r>
    <r>
      <rPr>
        <vertAlign val="subscript"/>
        <sz val="12"/>
        <color theme="1"/>
        <rFont val="Franklin Gothic Book"/>
        <family val="2"/>
      </rPr>
      <t>2</t>
    </r>
    <r>
      <rPr>
        <sz val="12"/>
        <color theme="1"/>
        <rFont val="Franklin Gothic Book"/>
        <family val="2"/>
      </rPr>
      <t>O/kg residuos</t>
    </r>
  </si>
  <si>
    <t>Relleno sanitario</t>
  </si>
  <si>
    <t>Emisiones</t>
  </si>
  <si>
    <t>Compostaje (kg CO2E)</t>
  </si>
  <si>
    <r>
      <t>kg CO</t>
    </r>
    <r>
      <rPr>
        <vertAlign val="subscript"/>
        <sz val="12"/>
        <color theme="1"/>
        <rFont val="Franklin Gothic Book"/>
        <family val="2"/>
      </rPr>
      <t>2</t>
    </r>
    <r>
      <rPr>
        <sz val="12"/>
        <color theme="1"/>
        <rFont val="Franklin Gothic Book"/>
        <family val="2"/>
      </rPr>
      <t>e</t>
    </r>
  </si>
  <si>
    <t xml:space="preserve">Residuos orgánicos gestionados </t>
  </si>
  <si>
    <t>Total de reducciones</t>
  </si>
  <si>
    <t>Proyecto: cambio iluminación</t>
  </si>
  <si>
    <t>Proyecto: compostaje de orgánicos</t>
  </si>
  <si>
    <t>Proyecto: Viajes compartidos</t>
  </si>
  <si>
    <t>Total de reducciones (t CO2e)</t>
  </si>
  <si>
    <t>Población</t>
  </si>
  <si>
    <t>Coeficiente productividad (emisiones/funcionarios/estudiantes)</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</si>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</sst>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140A]* #,##0.00_-;\-[$₡-140A]* #,##0.00_-;_-[$₡-140A]* &quot;-&quot;??_-;_-@"/>
    <numFmt numFmtId="165" formatCode="_-* #,##0_-;\-* #,##0_-;_-* &quot;-&quot;??_-;_-@_-"/>
    <numFmt numFmtId="166" formatCode="0.00000"/>
    <numFmt numFmtId="167" formatCode="0.000"/>
    <numFmt numFmtId="168" formatCode="_-* #,##0.0000_-;\-* #,##0.0000_-;_-* &quot;-&quot;??_-;_-@_-"/>
  </numFmts>
  <fonts count="45" x14ac:knownFonts="1">
    <font>
      <sz val="11"/>
      <color theme="1"/>
      <name val="Arial"/>
    </font>
    <font>
      <sz val="11"/>
      <color theme="1"/>
      <name val="Calibri"/>
      <family val="2"/>
      <scheme val="minor"/>
    </font>
    <font>
      <sz val="11"/>
      <color theme="1"/>
      <name val="Calibri"/>
      <family val="2"/>
      <scheme val="minor"/>
    </font>
    <font>
      <sz val="12"/>
      <color theme="1"/>
      <name val="Arial"/>
      <family val="2"/>
    </font>
    <font>
      <sz val="12"/>
      <color theme="1"/>
      <name val="Franklin Gothic Book"/>
      <family val="2"/>
    </font>
    <font>
      <b/>
      <sz val="12"/>
      <color theme="1"/>
      <name val="Franklin Gothic Book"/>
      <family val="2"/>
    </font>
    <font>
      <b/>
      <sz val="12"/>
      <color theme="0"/>
      <name val="Franklin Gothic Book"/>
      <family val="2"/>
    </font>
    <font>
      <sz val="12"/>
      <name val="Franklin Gothic Book"/>
      <family val="2"/>
    </font>
    <font>
      <b/>
      <sz val="12"/>
      <color rgb="FFFFFFFF"/>
      <name val="Franklin Gothic Book"/>
      <family val="2"/>
    </font>
    <font>
      <sz val="20"/>
      <color theme="1"/>
      <name val="Franklin Gothic Book"/>
      <family val="2"/>
    </font>
    <font>
      <i/>
      <sz val="12"/>
      <color theme="1"/>
      <name val="Franklin Gothic Book"/>
      <family val="2"/>
    </font>
    <font>
      <b/>
      <sz val="12"/>
      <name val="Franklin Gothic Book"/>
      <family val="2"/>
    </font>
    <font>
      <vertAlign val="subscript"/>
      <sz val="12"/>
      <name val="Franklin Gothic Book"/>
      <family val="2"/>
    </font>
    <font>
      <sz val="11"/>
      <color theme="1"/>
      <name val="Franklin Gothic Book"/>
      <family val="2"/>
    </font>
    <font>
      <sz val="11"/>
      <name val="Franklin Gothic Book"/>
      <family val="2"/>
    </font>
    <font>
      <sz val="12"/>
      <color rgb="FF000000"/>
      <name val="Franklin Gothic Book"/>
      <family val="2"/>
    </font>
    <font>
      <vertAlign val="subscript"/>
      <sz val="12"/>
      <color rgb="FF000000"/>
      <name val="Franklin Gothic Book"/>
      <family val="2"/>
    </font>
    <font>
      <b/>
      <sz val="12"/>
      <color rgb="FF000000"/>
      <name val="Franklin Gothic Book"/>
      <family val="2"/>
    </font>
    <font>
      <sz val="12"/>
      <color theme="1"/>
      <name val="Calibri"/>
      <family val="2"/>
    </font>
    <font>
      <b/>
      <sz val="24"/>
      <color theme="0"/>
      <name val="Franklin Gothic Book"/>
      <family val="2"/>
    </font>
    <font>
      <sz val="11"/>
      <color theme="1"/>
      <name val="Arial"/>
      <family val="2"/>
    </font>
    <font>
      <b/>
      <sz val="11"/>
      <color theme="0"/>
      <name val="Calibri"/>
      <family val="2"/>
      <scheme val="minor"/>
    </font>
    <font>
      <b/>
      <sz val="11"/>
      <color theme="1"/>
      <name val="Calibri"/>
      <family val="2"/>
      <scheme val="minor"/>
    </font>
    <font>
      <sz val="12"/>
      <color theme="0"/>
      <name val="Franklin Gothic Book"/>
      <family val="2"/>
    </font>
    <font>
      <i/>
      <sz val="12"/>
      <name val="Franklin Gothic Book"/>
      <family val="2"/>
    </font>
    <font>
      <b/>
      <vertAlign val="subscript"/>
      <sz val="12"/>
      <color theme="0"/>
      <name val="Franklin Gothic Book"/>
      <family val="2"/>
    </font>
    <font>
      <vertAlign val="subscript"/>
      <sz val="12"/>
      <color theme="1"/>
      <name val="Franklin Gothic Book"/>
      <family val="2"/>
    </font>
    <font>
      <b/>
      <sz val="12"/>
      <color rgb="FFFF0000"/>
      <name val="Franklin Gothic Book"/>
      <family val="2"/>
    </font>
    <font>
      <sz val="12"/>
      <color theme="1"/>
      <name val="Times New Roman"/>
      <family val="1"/>
    </font>
    <font>
      <b/>
      <sz val="22"/>
      <color theme="0"/>
      <name val="Times New Roman"/>
      <family val="1"/>
    </font>
    <font>
      <b/>
      <sz val="22"/>
      <name val="Times New Roman"/>
      <family val="1"/>
    </font>
    <font>
      <b/>
      <sz val="12"/>
      <color theme="1"/>
      <name val="Times New Roman"/>
      <family val="1"/>
    </font>
    <font>
      <vertAlign val="subscript"/>
      <sz val="12"/>
      <color theme="1"/>
      <name val="Times New Roman"/>
      <family val="1"/>
    </font>
    <font>
      <b/>
      <vertAlign val="subscript"/>
      <sz val="12"/>
      <color theme="1"/>
      <name val="Times New Roman"/>
      <family val="1"/>
    </font>
    <font>
      <b/>
      <sz val="24"/>
      <color theme="1"/>
      <name val="Times New Roman"/>
      <family val="1"/>
    </font>
    <font>
      <sz val="12"/>
      <name val="Times New Roman"/>
      <family val="1"/>
    </font>
    <font>
      <sz val="12"/>
      <color rgb="FFFF0000"/>
      <name val="Times New Roman"/>
      <family val="1"/>
    </font>
    <font>
      <b/>
      <sz val="9"/>
      <color indexed="81"/>
      <name val="Tahoma"/>
      <family val="2"/>
    </font>
    <font>
      <sz val="9"/>
      <color indexed="81"/>
      <name val="Tahoma"/>
      <family val="2"/>
    </font>
    <font>
      <b/>
      <sz val="11"/>
      <color theme="1"/>
      <name val="Arial"/>
      <family val="2"/>
    </font>
    <font>
      <sz val="11"/>
      <name val="Arial"/>
      <family val="2"/>
    </font>
    <font>
      <b/>
      <sz val="12"/>
      <color theme="0"/>
      <name val="Calibri"/>
      <family val="2"/>
      <scheme val="minor"/>
    </font>
    <font>
      <b/>
      <sz val="11"/>
      <color rgb="FF000000"/>
      <name val="Calibri"/>
      <family val="2"/>
    </font>
    <font>
      <sz val="11"/>
      <color rgb="FF000000"/>
      <name val="Calibri"/>
      <family val="2"/>
    </font>
    <font>
      <sz val="11"/>
      <color rgb="FF000000"/>
      <name val="Times New Roman"/>
      <family val="1"/>
    </font>
  </fonts>
  <fills count="23">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8" tint="-0.499984740745262"/>
        <bgColor rgb="FF1F3864"/>
      </patternFill>
    </fill>
    <fill>
      <patternFill patternType="solid">
        <fgColor theme="8" tint="0.79998168889431442"/>
        <bgColor indexed="64"/>
      </patternFill>
    </fill>
    <fill>
      <patternFill patternType="solid">
        <fgColor theme="4" tint="-0.499984740745262"/>
        <bgColor indexed="64"/>
      </patternFill>
    </fill>
    <fill>
      <patternFill patternType="solid">
        <fgColor theme="2" tint="-0.499984740745262"/>
        <bgColor rgb="FF1F3864"/>
      </patternFill>
    </fill>
    <fill>
      <patternFill patternType="solid">
        <fgColor theme="2" tint="-0.499984740745262"/>
        <bgColor indexed="64"/>
      </patternFill>
    </fill>
    <fill>
      <patternFill patternType="solid">
        <fgColor rgb="FF92D050"/>
        <bgColor indexed="64"/>
      </patternFill>
    </fill>
    <fill>
      <patternFill patternType="solid">
        <fgColor theme="4" tint="0.79998168889431442"/>
        <bgColor indexed="65"/>
      </patternFill>
    </fill>
    <fill>
      <patternFill patternType="solid">
        <fgColor theme="9" tint="0.79998168889431442"/>
        <bgColor indexed="65"/>
      </patternFill>
    </fill>
    <fill>
      <patternFill patternType="solid">
        <fgColor theme="8" tint="0.39997558519241921"/>
        <bgColor rgb="FF003366"/>
      </patternFill>
    </fill>
    <fill>
      <patternFill patternType="solid">
        <fgColor theme="8" tint="0.39997558519241921"/>
        <bgColor indexed="64"/>
      </patternFill>
    </fill>
    <fill>
      <patternFill patternType="solid">
        <fgColor theme="4" tint="-0.499984740745262"/>
        <bgColor rgb="FF00ACA8"/>
      </patternFill>
    </fill>
    <fill>
      <patternFill patternType="solid">
        <fgColor theme="9" tint="0.39997558519241921"/>
        <bgColor indexed="64"/>
      </patternFill>
    </fill>
    <fill>
      <patternFill patternType="solid">
        <fgColor rgb="FFFFFF00"/>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3" tint="0.39997558519241921"/>
        <bgColor indexed="64"/>
      </patternFill>
    </fill>
    <fill>
      <patternFill patternType="solid">
        <fgColor theme="2" tint="-0.34998626667073579"/>
        <bgColor indexed="64"/>
      </patternFill>
    </fill>
    <fill>
      <patternFill patternType="solid">
        <fgColor theme="0"/>
        <bgColor rgb="FF003366"/>
      </patternFill>
    </fill>
  </fills>
  <borders count="114">
    <border>
      <left/>
      <right/>
      <top/>
      <bottom/>
      <diagonal/>
    </border>
    <border>
      <left/>
      <right/>
      <top/>
      <bottom style="thin">
        <color rgb="FF000000"/>
      </bottom>
      <diagonal/>
    </border>
    <border>
      <left/>
      <right/>
      <top/>
      <bottom/>
      <diagonal/>
    </border>
    <border>
      <left style="thin">
        <color rgb="FF000000"/>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medium">
        <color indexed="64"/>
      </right>
      <top/>
      <bottom style="medium">
        <color indexed="64"/>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rgb="FF000000"/>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bottom style="medium">
        <color indexed="64"/>
      </bottom>
      <diagonal/>
    </border>
    <border>
      <left style="medium">
        <color indexed="64"/>
      </left>
      <right/>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rgb="FF000000"/>
      </bottom>
      <diagonal/>
    </border>
    <border>
      <left style="medium">
        <color indexed="64"/>
      </left>
      <right style="medium">
        <color rgb="FF000000"/>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rgb="FF000000"/>
      </top>
      <bottom style="medium">
        <color rgb="FF000000"/>
      </bottom>
      <diagonal/>
    </border>
    <border>
      <left/>
      <right/>
      <top style="medium">
        <color indexed="64"/>
      </top>
      <bottom style="medium">
        <color rgb="FF000000"/>
      </bottom>
      <diagonal/>
    </border>
    <border>
      <left style="thin">
        <color indexed="64"/>
      </left>
      <right style="thin">
        <color indexed="64"/>
      </right>
      <top style="medium">
        <color rgb="FF000000"/>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xf numFmtId="0" fontId="3" fillId="3" borderId="2"/>
    <xf numFmtId="0" fontId="2" fillId="0" borderId="2"/>
    <xf numFmtId="9" fontId="2" fillId="0" borderId="2" applyFont="0" applyFill="0" applyBorder="0" applyAlignment="0" applyProtection="0"/>
    <xf numFmtId="43" fontId="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cellStyleXfs>
  <cellXfs count="728">
    <xf numFmtId="0" fontId="0" fillId="0" borderId="0" xfId="0"/>
    <xf numFmtId="0" fontId="4" fillId="0" borderId="0" xfId="0" applyFont="1"/>
    <xf numFmtId="0" fontId="4" fillId="0" borderId="25" xfId="0" applyFont="1" applyBorder="1" applyAlignment="1">
      <alignment vertical="center" wrapText="1"/>
    </xf>
    <xf numFmtId="0" fontId="8" fillId="4" borderId="34" xfId="0" applyFont="1" applyFill="1" applyBorder="1" applyAlignment="1">
      <alignment horizontal="center" vertical="center"/>
    </xf>
    <xf numFmtId="0" fontId="8" fillId="4" borderId="35" xfId="0" applyFont="1" applyFill="1" applyBorder="1" applyAlignment="1">
      <alignment horizontal="center" vertical="center"/>
    </xf>
    <xf numFmtId="0" fontId="7" fillId="0" borderId="13" xfId="0" applyFont="1" applyBorder="1" applyAlignment="1">
      <alignment horizontal="center" vertical="center" wrapText="1"/>
    </xf>
    <xf numFmtId="0" fontId="8" fillId="4" borderId="45" xfId="0" applyFont="1" applyFill="1" applyBorder="1" applyAlignment="1">
      <alignment horizontal="center" vertical="center"/>
    </xf>
    <xf numFmtId="0" fontId="7" fillId="0" borderId="25" xfId="0" applyFont="1" applyBorder="1" applyAlignment="1">
      <alignment horizontal="center" vertical="center" wrapText="1"/>
    </xf>
    <xf numFmtId="0" fontId="4" fillId="0" borderId="40" xfId="0" applyFont="1" applyBorder="1" applyAlignment="1">
      <alignment horizontal="left" vertical="center"/>
    </xf>
    <xf numFmtId="0" fontId="4" fillId="0" borderId="8" xfId="0" applyFont="1" applyBorder="1" applyAlignment="1">
      <alignment horizontal="left" vertical="center" wrapText="1"/>
    </xf>
    <xf numFmtId="0" fontId="4" fillId="0" borderId="0" xfId="0" applyFont="1" applyAlignment="1">
      <alignment wrapText="1"/>
    </xf>
    <xf numFmtId="0" fontId="13" fillId="0" borderId="0" xfId="0" applyFont="1" applyAlignment="1">
      <alignment wrapText="1"/>
    </xf>
    <xf numFmtId="0" fontId="13" fillId="0" borderId="0" xfId="0" applyFont="1"/>
    <xf numFmtId="0" fontId="4" fillId="0" borderId="0" xfId="0" applyFont="1" applyAlignment="1">
      <alignment horizontal="left"/>
    </xf>
    <xf numFmtId="0" fontId="7" fillId="5" borderId="25" xfId="0" applyFont="1" applyFill="1" applyBorder="1" applyAlignment="1">
      <alignment horizontal="left" vertical="center" wrapText="1"/>
    </xf>
    <xf numFmtId="0" fontId="7" fillId="0" borderId="25" xfId="0" applyFont="1" applyBorder="1" applyAlignment="1">
      <alignment horizontal="left" vertical="center" wrapText="1"/>
    </xf>
    <xf numFmtId="0" fontId="4" fillId="0" borderId="25" xfId="0" applyFont="1" applyBorder="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horizontal="left" vertical="center" wrapText="1"/>
    </xf>
    <xf numFmtId="0" fontId="4" fillId="0" borderId="26" xfId="0" applyFont="1" applyBorder="1" applyAlignment="1">
      <alignment horizontal="left" vertical="center" wrapText="1"/>
    </xf>
    <xf numFmtId="164" fontId="7" fillId="0" borderId="28" xfId="0" applyNumberFormat="1"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Alignment="1">
      <alignment horizontal="left"/>
    </xf>
    <xf numFmtId="0" fontId="7" fillId="0" borderId="30" xfId="0" applyFont="1" applyBorder="1" applyAlignment="1">
      <alignment horizontal="left" vertical="center" wrapText="1"/>
    </xf>
    <xf numFmtId="0" fontId="7" fillId="0" borderId="6" xfId="0" applyFont="1" applyBorder="1" applyAlignment="1">
      <alignment horizontal="left" vertical="center" wrapText="1"/>
    </xf>
    <xf numFmtId="0" fontId="14" fillId="0" borderId="0" xfId="0" applyFont="1" applyAlignment="1">
      <alignment horizontal="left"/>
    </xf>
    <xf numFmtId="0" fontId="7" fillId="0" borderId="28" xfId="0" applyFont="1" applyBorder="1" applyAlignment="1">
      <alignment horizontal="left" vertical="center" wrapText="1"/>
    </xf>
    <xf numFmtId="0" fontId="15" fillId="0" borderId="25" xfId="0" applyFont="1" applyBorder="1" applyAlignment="1">
      <alignment horizontal="left" vertical="center" wrapText="1"/>
    </xf>
    <xf numFmtId="0" fontId="15" fillId="0" borderId="25" xfId="0" applyFont="1" applyBorder="1" applyAlignment="1">
      <alignment vertical="center" wrapText="1"/>
    </xf>
    <xf numFmtId="0" fontId="4" fillId="0" borderId="13"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7" xfId="0" applyFont="1" applyBorder="1" applyAlignment="1">
      <alignment horizontal="left" vertical="center" wrapText="1"/>
    </xf>
    <xf numFmtId="0" fontId="15" fillId="0" borderId="28" xfId="0" applyFont="1" applyBorder="1" applyAlignment="1">
      <alignment vertical="center" wrapText="1"/>
    </xf>
    <xf numFmtId="0" fontId="7" fillId="0" borderId="8" xfId="0" applyFont="1" applyBorder="1" applyAlignment="1">
      <alignment horizontal="left" vertical="center" wrapText="1"/>
    </xf>
    <xf numFmtId="0" fontId="7" fillId="0" borderId="40" xfId="0" applyFont="1" applyBorder="1" applyAlignment="1">
      <alignment horizontal="left" vertical="center" wrapText="1"/>
    </xf>
    <xf numFmtId="0" fontId="4" fillId="0" borderId="24" xfId="0" applyFont="1" applyBorder="1" applyAlignment="1">
      <alignment horizontal="center" vertical="center"/>
    </xf>
    <xf numFmtId="0" fontId="7" fillId="5" borderId="12" xfId="0" applyFont="1" applyFill="1" applyBorder="1" applyAlignment="1">
      <alignment horizontal="left" vertical="center" wrapText="1"/>
    </xf>
    <xf numFmtId="0" fontId="4" fillId="0" borderId="12" xfId="0" applyFont="1" applyBorder="1" applyAlignment="1">
      <alignment horizontal="left" vertical="center" wrapText="1"/>
    </xf>
    <xf numFmtId="164" fontId="18" fillId="0" borderId="8" xfId="0" applyNumberFormat="1" applyFont="1" applyBorder="1" applyAlignment="1">
      <alignment horizontal="left" vertical="center" wrapText="1"/>
    </xf>
    <xf numFmtId="0" fontId="4" fillId="0" borderId="46" xfId="0" applyFont="1" applyBorder="1" applyAlignment="1">
      <alignment horizontal="left" vertical="center"/>
    </xf>
    <xf numFmtId="0" fontId="4" fillId="0" borderId="25" xfId="0" applyFont="1" applyBorder="1" applyAlignment="1">
      <alignment horizontal="center" vertical="center"/>
    </xf>
    <xf numFmtId="0" fontId="15" fillId="0" borderId="13" xfId="0" applyFont="1" applyBorder="1" applyAlignment="1">
      <alignment horizontal="left" vertical="center" wrapText="1"/>
    </xf>
    <xf numFmtId="0" fontId="7" fillId="0" borderId="10" xfId="0" applyFont="1" applyBorder="1" applyAlignment="1">
      <alignment horizontal="left" vertical="center" wrapText="1"/>
    </xf>
    <xf numFmtId="0" fontId="15" fillId="0" borderId="13" xfId="0" applyFont="1" applyBorder="1" applyAlignment="1">
      <alignment vertical="center" wrapText="1"/>
    </xf>
    <xf numFmtId="0" fontId="4" fillId="0" borderId="56" xfId="0" applyFont="1" applyBorder="1" applyAlignment="1">
      <alignment horizontal="center" vertical="center"/>
    </xf>
    <xf numFmtId="0" fontId="4" fillId="0" borderId="57" xfId="0" applyFont="1" applyBorder="1" applyAlignment="1">
      <alignment horizontal="center" vertical="center"/>
    </xf>
    <xf numFmtId="9" fontId="9" fillId="0" borderId="47" xfId="0" applyNumberFormat="1" applyFont="1" applyBorder="1" applyAlignment="1">
      <alignment horizontal="left" vertical="center"/>
    </xf>
    <xf numFmtId="0" fontId="4" fillId="0" borderId="47" xfId="0" applyFont="1" applyBorder="1" applyAlignment="1">
      <alignment horizontal="left" vertical="center"/>
    </xf>
    <xf numFmtId="0" fontId="4" fillId="0" borderId="48" xfId="0" applyFont="1" applyBorder="1" applyAlignment="1">
      <alignment horizontal="left" vertical="center"/>
    </xf>
    <xf numFmtId="0" fontId="4" fillId="0" borderId="4" xfId="0" applyFont="1" applyBorder="1"/>
    <xf numFmtId="0" fontId="4" fillId="0" borderId="5" xfId="0" applyFont="1" applyBorder="1"/>
    <xf numFmtId="0" fontId="24" fillId="0" borderId="5" xfId="0" applyFont="1" applyBorder="1" applyAlignment="1">
      <alignment vertical="center" wrapText="1"/>
    </xf>
    <xf numFmtId="0" fontId="24" fillId="0" borderId="6" xfId="0" applyFont="1" applyBorder="1" applyAlignment="1">
      <alignment vertical="center" wrapText="1"/>
    </xf>
    <xf numFmtId="0" fontId="4" fillId="0" borderId="66" xfId="0" applyFont="1" applyBorder="1"/>
    <xf numFmtId="0" fontId="11" fillId="0" borderId="15" xfId="0" applyFont="1" applyBorder="1" applyAlignment="1">
      <alignment vertical="center" wrapText="1"/>
    </xf>
    <xf numFmtId="0" fontId="4" fillId="0" borderId="7" xfId="0" applyFont="1" applyBorder="1"/>
    <xf numFmtId="0" fontId="11" fillId="0" borderId="38" xfId="0" applyFont="1" applyBorder="1" applyAlignment="1">
      <alignment vertical="center" wrapText="1"/>
    </xf>
    <xf numFmtId="0" fontId="7" fillId="0" borderId="36" xfId="0" applyFont="1" applyBorder="1" applyAlignment="1">
      <alignment vertical="center" wrapText="1"/>
    </xf>
    <xf numFmtId="0" fontId="7" fillId="0" borderId="39" xfId="0" applyFont="1" applyBorder="1" applyAlignment="1">
      <alignment vertical="center" wrapText="1"/>
    </xf>
    <xf numFmtId="0" fontId="24" fillId="0" borderId="66" xfId="0" applyFont="1" applyBorder="1" applyAlignment="1">
      <alignment vertical="center" wrapText="1"/>
    </xf>
    <xf numFmtId="0" fontId="7" fillId="0" borderId="20" xfId="0" applyFont="1" applyBorder="1" applyAlignment="1">
      <alignment vertical="center" wrapText="1"/>
    </xf>
    <xf numFmtId="0" fontId="24" fillId="0" borderId="2" xfId="0" applyFont="1" applyBorder="1" applyAlignment="1">
      <alignment vertical="center" wrapText="1"/>
    </xf>
    <xf numFmtId="0" fontId="24" fillId="0" borderId="7" xfId="0" applyFont="1" applyBorder="1" applyAlignment="1">
      <alignment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4" fillId="0" borderId="17" xfId="0" applyFont="1" applyBorder="1" applyAlignment="1">
      <alignment vertical="center" wrapText="1"/>
    </xf>
    <xf numFmtId="0" fontId="4" fillId="0" borderId="18" xfId="0" applyFont="1" applyBorder="1" applyAlignment="1">
      <alignment vertical="center" wrapText="1"/>
    </xf>
    <xf numFmtId="165" fontId="4" fillId="0" borderId="19" xfId="4" applyNumberFormat="1" applyFont="1" applyBorder="1" applyAlignment="1">
      <alignment vertical="center" wrapText="1"/>
    </xf>
    <xf numFmtId="0" fontId="24" fillId="0" borderId="8" xfId="0" applyFont="1" applyBorder="1" applyAlignment="1">
      <alignment vertical="center" wrapText="1"/>
    </xf>
    <xf numFmtId="0" fontId="24" fillId="0" borderId="9" xfId="0" applyFont="1" applyBorder="1" applyAlignment="1">
      <alignment vertical="center" wrapText="1"/>
    </xf>
    <xf numFmtId="0" fontId="24" fillId="0" borderId="10" xfId="0" applyFont="1" applyBorder="1" applyAlignment="1">
      <alignment vertical="center" wrapText="1"/>
    </xf>
    <xf numFmtId="0" fontId="4" fillId="0" borderId="17" xfId="0" applyFont="1" applyBorder="1" applyAlignment="1">
      <alignment vertical="center"/>
    </xf>
    <xf numFmtId="0" fontId="4" fillId="0" borderId="36" xfId="0" applyFont="1" applyBorder="1" applyAlignment="1">
      <alignment vertical="center"/>
    </xf>
    <xf numFmtId="0" fontId="4" fillId="0" borderId="39" xfId="0" applyFont="1" applyBorder="1" applyAlignment="1">
      <alignment vertical="center"/>
    </xf>
    <xf numFmtId="0" fontId="5" fillId="0" borderId="36" xfId="0" applyFont="1" applyBorder="1" applyAlignment="1">
      <alignment vertical="center"/>
    </xf>
    <xf numFmtId="43" fontId="4" fillId="0" borderId="36" xfId="4" applyFont="1" applyBorder="1" applyAlignment="1">
      <alignment vertical="center"/>
    </xf>
    <xf numFmtId="43" fontId="4" fillId="0" borderId="36" xfId="0" applyNumberFormat="1" applyFont="1" applyBorder="1" applyAlignment="1">
      <alignment vertical="center"/>
    </xf>
    <xf numFmtId="165" fontId="27" fillId="0" borderId="20" xfId="4" applyNumberFormat="1" applyFont="1" applyBorder="1" applyAlignment="1">
      <alignment vertical="center" wrapText="1"/>
    </xf>
    <xf numFmtId="0" fontId="4" fillId="0" borderId="8" xfId="0" applyFont="1" applyBorder="1"/>
    <xf numFmtId="0" fontId="4" fillId="0" borderId="9" xfId="0" applyFont="1" applyBorder="1"/>
    <xf numFmtId="0" fontId="4" fillId="0" borderId="10" xfId="0" applyFont="1" applyBorder="1"/>
    <xf numFmtId="2" fontId="4" fillId="0" borderId="0" xfId="0" applyNumberFormat="1" applyFont="1"/>
    <xf numFmtId="43" fontId="4" fillId="0" borderId="0" xfId="0" applyNumberFormat="1" applyFont="1"/>
    <xf numFmtId="0" fontId="28" fillId="0" borderId="2" xfId="2" applyFont="1"/>
    <xf numFmtId="0" fontId="28" fillId="0" borderId="2" xfId="2" applyFont="1" applyAlignment="1">
      <alignment vertical="center"/>
    </xf>
    <xf numFmtId="0" fontId="28" fillId="0" borderId="2" xfId="2" applyFont="1" applyAlignment="1">
      <alignment horizontal="center" vertical="center"/>
    </xf>
    <xf numFmtId="0" fontId="28" fillId="0" borderId="15" xfId="2" applyFont="1" applyBorder="1" applyAlignment="1">
      <alignment horizontal="center" vertical="center" wrapText="1"/>
    </xf>
    <xf numFmtId="0" fontId="28" fillId="0" borderId="16" xfId="2" applyFont="1" applyBorder="1" applyAlignment="1">
      <alignment horizontal="center" vertical="center" wrapText="1"/>
    </xf>
    <xf numFmtId="0" fontId="28" fillId="0" borderId="17"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2" xfId="2" applyFont="1" applyAlignment="1">
      <alignment horizontal="center" vertical="center" wrapText="1"/>
    </xf>
    <xf numFmtId="0" fontId="28" fillId="0" borderId="15" xfId="2" applyFont="1" applyBorder="1" applyAlignment="1">
      <alignment horizontal="center" vertical="center"/>
    </xf>
    <xf numFmtId="0" fontId="28" fillId="0" borderId="16" xfId="2" applyFont="1" applyBorder="1" applyAlignment="1">
      <alignment horizontal="center" vertical="center"/>
    </xf>
    <xf numFmtId="0" fontId="28" fillId="16" borderId="16" xfId="2" applyFont="1" applyFill="1" applyBorder="1" applyAlignment="1">
      <alignment horizontal="center" vertical="center" wrapText="1"/>
    </xf>
    <xf numFmtId="0" fontId="28" fillId="0" borderId="38" xfId="2" applyFont="1" applyBorder="1" applyAlignment="1">
      <alignment horizontal="center" vertical="center"/>
    </xf>
    <xf numFmtId="16" fontId="28" fillId="0" borderId="36" xfId="2" applyNumberFormat="1" applyFont="1" applyBorder="1" applyAlignment="1">
      <alignment horizontal="center" vertical="center"/>
    </xf>
    <xf numFmtId="0" fontId="28" fillId="0" borderId="36" xfId="2" applyFont="1" applyBorder="1" applyAlignment="1">
      <alignment horizontal="center" vertical="center"/>
    </xf>
    <xf numFmtId="2" fontId="28" fillId="17" borderId="36" xfId="2" applyNumberFormat="1" applyFont="1" applyFill="1" applyBorder="1" applyAlignment="1">
      <alignment horizontal="center" vertical="center"/>
    </xf>
    <xf numFmtId="0" fontId="28" fillId="17" borderId="36" xfId="2" applyFont="1" applyFill="1" applyBorder="1" applyAlignment="1">
      <alignment horizontal="center" vertical="center"/>
    </xf>
    <xf numFmtId="0" fontId="28" fillId="0" borderId="39" xfId="2" applyFont="1" applyBorder="1" applyAlignment="1">
      <alignment horizontal="center" vertical="center"/>
    </xf>
    <xf numFmtId="0" fontId="28" fillId="0" borderId="18" xfId="2" applyFont="1" applyBorder="1" applyAlignment="1">
      <alignment horizontal="center" vertical="center" wrapText="1"/>
    </xf>
    <xf numFmtId="0" fontId="28" fillId="0" borderId="19" xfId="2" applyFont="1" applyBorder="1" applyAlignment="1">
      <alignment horizontal="center" vertical="center" wrapText="1"/>
    </xf>
    <xf numFmtId="0" fontId="28" fillId="0" borderId="20" xfId="2" applyFont="1" applyBorder="1" applyAlignment="1">
      <alignment horizontal="center" vertical="center" wrapText="1"/>
    </xf>
    <xf numFmtId="2" fontId="28" fillId="0" borderId="36" xfId="2" applyNumberFormat="1" applyFont="1" applyBorder="1" applyAlignment="1">
      <alignment horizontal="center" vertical="center"/>
    </xf>
    <xf numFmtId="0" fontId="28" fillId="15" borderId="25" xfId="2" applyFont="1" applyFill="1" applyBorder="1" applyAlignment="1">
      <alignment horizontal="center" vertical="center" wrapText="1"/>
    </xf>
    <xf numFmtId="0" fontId="28" fillId="15" borderId="28" xfId="2" applyFont="1" applyFill="1" applyBorder="1" applyAlignment="1">
      <alignment horizontal="center" vertical="center" wrapText="1"/>
    </xf>
    <xf numFmtId="0" fontId="31" fillId="0" borderId="11" xfId="2" applyFont="1" applyBorder="1" applyAlignment="1">
      <alignment horizontal="center" vertical="center" wrapText="1"/>
    </xf>
    <xf numFmtId="3" fontId="28" fillId="0" borderId="15" xfId="2" applyNumberFormat="1" applyFont="1" applyBorder="1" applyAlignment="1">
      <alignment horizontal="center"/>
    </xf>
    <xf numFmtId="0" fontId="28" fillId="0" borderId="16" xfId="2" applyFont="1" applyBorder="1" applyAlignment="1">
      <alignment horizontal="center"/>
    </xf>
    <xf numFmtId="0" fontId="28" fillId="0" borderId="17" xfId="2" applyFont="1" applyBorder="1" applyAlignment="1">
      <alignment horizontal="center"/>
    </xf>
    <xf numFmtId="0" fontId="28" fillId="0" borderId="79" xfId="2" applyFont="1" applyBorder="1" applyAlignment="1">
      <alignment horizontal="center"/>
    </xf>
    <xf numFmtId="0" fontId="28" fillId="0" borderId="81" xfId="2" applyFont="1" applyBorder="1" applyAlignment="1">
      <alignment horizontal="center" vertical="center"/>
    </xf>
    <xf numFmtId="0" fontId="28" fillId="0" borderId="39" xfId="2" applyFont="1" applyBorder="1" applyAlignment="1">
      <alignment horizontal="center"/>
    </xf>
    <xf numFmtId="0" fontId="28" fillId="0" borderId="82" xfId="2" applyFont="1" applyBorder="1" applyAlignment="1">
      <alignment horizontal="center"/>
    </xf>
    <xf numFmtId="0" fontId="28" fillId="0" borderId="36" xfId="2" applyFont="1" applyBorder="1" applyAlignment="1">
      <alignment horizontal="center"/>
    </xf>
    <xf numFmtId="0" fontId="28" fillId="0" borderId="15" xfId="2" applyFont="1" applyBorder="1" applyAlignment="1">
      <alignment horizontal="center"/>
    </xf>
    <xf numFmtId="2" fontId="28" fillId="0" borderId="38" xfId="2" applyNumberFormat="1" applyFont="1" applyBorder="1" applyAlignment="1">
      <alignment horizontal="center" vertical="center"/>
    </xf>
    <xf numFmtId="0" fontId="28" fillId="0" borderId="82" xfId="2" applyFont="1" applyBorder="1" applyAlignment="1">
      <alignment horizontal="center" vertical="center"/>
    </xf>
    <xf numFmtId="0" fontId="28" fillId="0" borderId="18" xfId="2" applyFont="1" applyBorder="1" applyAlignment="1">
      <alignment horizontal="center" vertical="center"/>
    </xf>
    <xf numFmtId="0" fontId="28" fillId="0" borderId="20" xfId="2" applyFont="1" applyBorder="1" applyAlignment="1">
      <alignment horizontal="center" vertical="center"/>
    </xf>
    <xf numFmtId="16" fontId="28" fillId="0" borderId="36" xfId="2" applyNumberFormat="1" applyFont="1" applyBorder="1" applyAlignment="1">
      <alignment horizontal="center"/>
    </xf>
    <xf numFmtId="2" fontId="28" fillId="0" borderId="18" xfId="2" applyNumberFormat="1" applyFont="1" applyBorder="1" applyAlignment="1">
      <alignment horizontal="center" vertical="center"/>
    </xf>
    <xf numFmtId="2" fontId="28" fillId="0" borderId="19" xfId="2" applyNumberFormat="1" applyFont="1" applyBorder="1" applyAlignment="1">
      <alignment horizontal="center" vertical="center"/>
    </xf>
    <xf numFmtId="0" fontId="28" fillId="0" borderId="86" xfId="2" applyFont="1" applyBorder="1" applyAlignment="1">
      <alignment horizontal="center"/>
    </xf>
    <xf numFmtId="0" fontId="28" fillId="0" borderId="19" xfId="2" applyFont="1" applyBorder="1" applyAlignment="1">
      <alignment horizontal="center"/>
    </xf>
    <xf numFmtId="2" fontId="28" fillId="0" borderId="39" xfId="2" applyNumberFormat="1" applyFont="1" applyBorder="1" applyAlignment="1">
      <alignment horizontal="center" vertical="center"/>
    </xf>
    <xf numFmtId="0" fontId="28" fillId="0" borderId="85" xfId="2" applyFont="1" applyBorder="1" applyAlignment="1">
      <alignment horizontal="center" vertical="center"/>
    </xf>
    <xf numFmtId="2" fontId="28" fillId="0" borderId="20" xfId="2" applyNumberFormat="1" applyFont="1" applyBorder="1" applyAlignment="1">
      <alignment horizontal="center" vertical="center"/>
    </xf>
    <xf numFmtId="2" fontId="28" fillId="0" borderId="17" xfId="2" applyNumberFormat="1" applyFont="1" applyBorder="1" applyAlignment="1">
      <alignment horizontal="center"/>
    </xf>
    <xf numFmtId="2" fontId="28" fillId="0" borderId="36" xfId="2" quotePrefix="1" applyNumberFormat="1" applyFont="1" applyBorder="1" applyAlignment="1">
      <alignment horizontal="center" vertical="center"/>
    </xf>
    <xf numFmtId="0" fontId="28" fillId="0" borderId="20" xfId="2" applyFont="1" applyBorder="1" applyAlignment="1">
      <alignment horizontal="center"/>
    </xf>
    <xf numFmtId="2" fontId="28" fillId="0" borderId="86" xfId="2" applyNumberFormat="1" applyFont="1" applyBorder="1" applyAlignment="1">
      <alignment horizontal="center" vertical="center"/>
    </xf>
    <xf numFmtId="0" fontId="28" fillId="0" borderId="90" xfId="2" applyFont="1" applyBorder="1" applyAlignment="1">
      <alignment horizontal="center" vertical="center" wrapText="1"/>
    </xf>
    <xf numFmtId="0" fontId="28" fillId="0" borderId="91" xfId="2" applyFont="1" applyBorder="1" applyAlignment="1">
      <alignment horizontal="center" vertical="center" wrapText="1"/>
    </xf>
    <xf numFmtId="0" fontId="28" fillId="0" borderId="49" xfId="2" applyFont="1" applyBorder="1" applyAlignment="1">
      <alignment horizontal="center" vertical="center" wrapText="1"/>
    </xf>
    <xf numFmtId="0" fontId="28" fillId="0" borderId="50" xfId="2" applyFont="1" applyBorder="1" applyAlignment="1">
      <alignment horizontal="center" vertical="center" wrapText="1"/>
    </xf>
    <xf numFmtId="0" fontId="28" fillId="0" borderId="51" xfId="2" applyFont="1" applyBorder="1" applyAlignment="1">
      <alignment horizontal="center" vertical="center" wrapText="1"/>
    </xf>
    <xf numFmtId="0" fontId="28" fillId="0" borderId="86" xfId="2" applyFont="1" applyBorder="1" applyAlignment="1">
      <alignment horizontal="center" vertical="center" wrapText="1"/>
    </xf>
    <xf numFmtId="0" fontId="28" fillId="0" borderId="92" xfId="2" applyFont="1" applyBorder="1" applyAlignment="1">
      <alignment horizontal="center" vertical="center" wrapText="1"/>
    </xf>
    <xf numFmtId="0" fontId="28" fillId="0" borderId="93" xfId="2" applyFont="1" applyBorder="1" applyAlignment="1">
      <alignment horizontal="center" vertical="center" wrapText="1"/>
    </xf>
    <xf numFmtId="0" fontId="28" fillId="0" borderId="79" xfId="2" applyFont="1" applyBorder="1" applyAlignment="1">
      <alignment horizontal="center" vertical="center" wrapText="1"/>
    </xf>
    <xf numFmtId="0" fontId="30" fillId="0" borderId="2" xfId="2" applyFont="1" applyAlignment="1">
      <alignment vertical="center"/>
    </xf>
    <xf numFmtId="0" fontId="34" fillId="0" borderId="2" xfId="2" applyFont="1" applyAlignment="1">
      <alignment horizontal="center" vertical="center" textRotation="255"/>
    </xf>
    <xf numFmtId="0" fontId="28" fillId="0" borderId="26" xfId="2" applyFont="1" applyBorder="1" applyAlignment="1">
      <alignment horizontal="center" vertical="center"/>
    </xf>
    <xf numFmtId="0" fontId="28" fillId="0" borderId="25" xfId="2" applyFont="1" applyBorder="1" applyAlignment="1">
      <alignment horizontal="center" vertical="center"/>
    </xf>
    <xf numFmtId="0" fontId="28" fillId="0" borderId="27" xfId="2" applyFont="1" applyBorder="1" applyAlignment="1">
      <alignment horizontal="center" vertical="center"/>
    </xf>
    <xf numFmtId="0" fontId="28" fillId="0" borderId="25" xfId="2" applyFont="1" applyBorder="1" applyAlignment="1">
      <alignment horizontal="center" vertical="center" wrapText="1"/>
    </xf>
    <xf numFmtId="0" fontId="28" fillId="0" borderId="28" xfId="2" applyFont="1" applyBorder="1" applyAlignment="1">
      <alignment horizontal="center" vertical="center" wrapText="1"/>
    </xf>
    <xf numFmtId="0" fontId="28" fillId="0" borderId="11" xfId="2" applyFont="1" applyBorder="1" applyAlignment="1">
      <alignment horizontal="center" vertical="center"/>
    </xf>
    <xf numFmtId="0" fontId="28" fillId="0" borderId="5" xfId="2" applyFont="1" applyBorder="1" applyAlignment="1">
      <alignment horizontal="center" vertical="center"/>
    </xf>
    <xf numFmtId="0" fontId="28" fillId="0" borderId="11" xfId="2" applyFont="1" applyBorder="1" applyAlignment="1">
      <alignment horizontal="center" vertical="center" wrapText="1"/>
    </xf>
    <xf numFmtId="0" fontId="28" fillId="0" borderId="49" xfId="2" applyFont="1" applyBorder="1" applyAlignment="1">
      <alignment horizontal="center" vertical="center"/>
    </xf>
    <xf numFmtId="0" fontId="28" fillId="0" borderId="50" xfId="2" applyFont="1" applyBorder="1" applyAlignment="1">
      <alignment horizontal="center" vertical="center"/>
    </xf>
    <xf numFmtId="0" fontId="28" fillId="0" borderId="91" xfId="2" applyFont="1" applyBorder="1" applyAlignment="1">
      <alignment horizontal="center" vertical="center"/>
    </xf>
    <xf numFmtId="0" fontId="28" fillId="0" borderId="15" xfId="2" applyFont="1" applyBorder="1"/>
    <xf numFmtId="0" fontId="28" fillId="0" borderId="16" xfId="2" applyFont="1" applyBorder="1"/>
    <xf numFmtId="0" fontId="28" fillId="0" borderId="51" xfId="2" applyFont="1" applyBorder="1" applyAlignment="1">
      <alignment horizontal="center" vertical="center"/>
    </xf>
    <xf numFmtId="0" fontId="28" fillId="0" borderId="94" xfId="2" applyFont="1" applyBorder="1" applyAlignment="1">
      <alignment horizontal="center" vertical="center"/>
    </xf>
    <xf numFmtId="0" fontId="28" fillId="0" borderId="38" xfId="2" applyFont="1" applyBorder="1"/>
    <xf numFmtId="0" fontId="28" fillId="0" borderId="36" xfId="2" applyFont="1" applyBorder="1"/>
    <xf numFmtId="2" fontId="28" fillId="0" borderId="16" xfId="2" applyNumberFormat="1" applyFont="1" applyBorder="1" applyAlignment="1">
      <alignment horizontal="center"/>
    </xf>
    <xf numFmtId="2" fontId="28" fillId="0" borderId="36" xfId="2" applyNumberFormat="1" applyFont="1" applyBorder="1" applyAlignment="1">
      <alignment horizontal="center"/>
    </xf>
    <xf numFmtId="2" fontId="28" fillId="0" borderId="39" xfId="2" applyNumberFormat="1" applyFont="1" applyBorder="1" applyAlignment="1">
      <alignment horizontal="center"/>
    </xf>
    <xf numFmtId="1" fontId="28" fillId="0" borderId="36" xfId="2" applyNumberFormat="1" applyFont="1" applyBorder="1" applyAlignment="1">
      <alignment horizontal="center" vertical="center"/>
    </xf>
    <xf numFmtId="1" fontId="28" fillId="0" borderId="19" xfId="2" applyNumberFormat="1" applyFont="1" applyBorder="1" applyAlignment="1">
      <alignment horizontal="center" vertical="center"/>
    </xf>
    <xf numFmtId="2" fontId="28" fillId="0" borderId="19" xfId="2" applyNumberFormat="1" applyFont="1" applyBorder="1" applyAlignment="1">
      <alignment horizontal="center"/>
    </xf>
    <xf numFmtId="0" fontId="28" fillId="0" borderId="17" xfId="2" applyFont="1" applyBorder="1" applyAlignment="1">
      <alignment horizontal="center" vertical="center"/>
    </xf>
    <xf numFmtId="0" fontId="28" fillId="0" borderId="19" xfId="2" applyFont="1" applyBorder="1" applyAlignment="1">
      <alignment horizontal="center" vertical="center"/>
    </xf>
    <xf numFmtId="2" fontId="28" fillId="0" borderId="36" xfId="2" applyNumberFormat="1" applyFont="1" applyBorder="1" applyAlignment="1">
      <alignment horizontal="center" vertical="center" wrapText="1"/>
    </xf>
    <xf numFmtId="0" fontId="28" fillId="0" borderId="38" xfId="2" applyFont="1" applyBorder="1" applyAlignment="1">
      <alignment vertical="center"/>
    </xf>
    <xf numFmtId="0" fontId="28" fillId="0" borderId="36" xfId="2" applyFont="1" applyBorder="1" applyAlignment="1">
      <alignment vertical="center"/>
    </xf>
    <xf numFmtId="16" fontId="28" fillId="0" borderId="36" xfId="2" applyNumberFormat="1" applyFont="1" applyBorder="1" applyAlignment="1">
      <alignment horizontal="center" vertical="center" wrapText="1"/>
    </xf>
    <xf numFmtId="16" fontId="28" fillId="0" borderId="36" xfId="2" applyNumberFormat="1" applyFont="1" applyBorder="1" applyAlignment="1">
      <alignment horizontal="center" wrapText="1"/>
    </xf>
    <xf numFmtId="0" fontId="28" fillId="0" borderId="36" xfId="2" applyFont="1" applyBorder="1" applyAlignment="1">
      <alignment horizontal="center" wrapText="1"/>
    </xf>
    <xf numFmtId="0" fontId="28" fillId="0" borderId="92" xfId="2" applyFont="1" applyBorder="1" applyAlignment="1">
      <alignment horizontal="center" vertical="center"/>
    </xf>
    <xf numFmtId="0" fontId="28" fillId="0" borderId="18" xfId="2" applyFont="1" applyBorder="1"/>
    <xf numFmtId="0" fontId="28" fillId="0" borderId="19" xfId="2" applyFont="1" applyBorder="1"/>
    <xf numFmtId="0" fontId="28" fillId="15" borderId="11" xfId="2" applyFont="1" applyFill="1" applyBorder="1" applyAlignment="1">
      <alignment horizontal="center" vertical="center" wrapText="1"/>
    </xf>
    <xf numFmtId="0" fontId="28" fillId="0" borderId="36" xfId="2" applyFont="1" applyBorder="1" applyAlignment="1">
      <alignment horizontal="left"/>
    </xf>
    <xf numFmtId="2" fontId="28" fillId="0" borderId="20" xfId="2" applyNumberFormat="1" applyFont="1" applyBorder="1" applyAlignment="1">
      <alignment horizontal="center"/>
    </xf>
    <xf numFmtId="0" fontId="28" fillId="0" borderId="53" xfId="2" applyFont="1" applyBorder="1" applyAlignment="1">
      <alignment horizontal="center" vertical="center"/>
    </xf>
    <xf numFmtId="16" fontId="28" fillId="0" borderId="54" xfId="2" applyNumberFormat="1" applyFont="1" applyBorder="1" applyAlignment="1">
      <alignment horizontal="center"/>
    </xf>
    <xf numFmtId="0" fontId="28" fillId="0" borderId="54" xfId="2" applyFont="1" applyBorder="1" applyAlignment="1">
      <alignment horizontal="center"/>
    </xf>
    <xf numFmtId="2" fontId="28" fillId="0" borderId="54" xfId="2" applyNumberFormat="1" applyFont="1" applyBorder="1" applyAlignment="1">
      <alignment horizontal="center"/>
    </xf>
    <xf numFmtId="0" fontId="28" fillId="0" borderId="55" xfId="2" applyFont="1" applyBorder="1" applyAlignment="1">
      <alignment horizontal="center" vertical="center"/>
    </xf>
    <xf numFmtId="0" fontId="28" fillId="0" borderId="28" xfId="2" applyFont="1" applyBorder="1" applyAlignment="1">
      <alignment horizontal="center"/>
    </xf>
    <xf numFmtId="0" fontId="28" fillId="0" borderId="13" xfId="2" applyFont="1" applyBorder="1" applyAlignment="1">
      <alignment horizontal="center" vertical="center"/>
    </xf>
    <xf numFmtId="0" fontId="28" fillId="0" borderId="13" xfId="2" applyFont="1" applyBorder="1" applyAlignment="1">
      <alignment horizontal="center" vertical="center" wrapText="1"/>
    </xf>
    <xf numFmtId="0" fontId="28" fillId="18" borderId="15" xfId="2" applyFont="1" applyFill="1" applyBorder="1" applyAlignment="1">
      <alignment horizontal="center" vertical="center"/>
    </xf>
    <xf numFmtId="16" fontId="28" fillId="0" borderId="16" xfId="2" applyNumberFormat="1" applyFont="1" applyBorder="1" applyAlignment="1">
      <alignment horizontal="center" vertical="center"/>
    </xf>
    <xf numFmtId="1" fontId="28" fillId="0" borderId="16" xfId="2" applyNumberFormat="1" applyFont="1" applyBorder="1" applyAlignment="1">
      <alignment horizontal="center" vertical="center"/>
    </xf>
    <xf numFmtId="0" fontId="28" fillId="18" borderId="38" xfId="2" applyFont="1" applyFill="1" applyBorder="1" applyAlignment="1">
      <alignment horizontal="center" vertical="center"/>
    </xf>
    <xf numFmtId="16" fontId="28" fillId="0" borderId="2" xfId="2" applyNumberFormat="1" applyFont="1" applyAlignment="1">
      <alignment horizontal="center" vertical="center"/>
    </xf>
    <xf numFmtId="0" fontId="28" fillId="18" borderId="53" xfId="2" applyFont="1" applyFill="1" applyBorder="1" applyAlignment="1">
      <alignment horizontal="center" vertical="center"/>
    </xf>
    <xf numFmtId="0" fontId="28" fillId="0" borderId="54" xfId="2" applyFont="1" applyBorder="1" applyAlignment="1">
      <alignment horizontal="center" vertical="center"/>
    </xf>
    <xf numFmtId="16" fontId="28" fillId="0" borderId="54" xfId="2" applyNumberFormat="1" applyFont="1" applyBorder="1" applyAlignment="1">
      <alignment horizontal="center" vertical="center"/>
    </xf>
    <xf numFmtId="0" fontId="28" fillId="18" borderId="38" xfId="2" applyFont="1" applyFill="1" applyBorder="1" applyAlignment="1">
      <alignment horizontal="center"/>
    </xf>
    <xf numFmtId="1" fontId="28" fillId="0" borderId="36" xfId="2" applyNumberFormat="1" applyFont="1" applyBorder="1" applyAlignment="1">
      <alignment horizontal="center"/>
    </xf>
    <xf numFmtId="0" fontId="28" fillId="18" borderId="38" xfId="2" applyFont="1" applyFill="1" applyBorder="1" applyAlignment="1">
      <alignment horizontal="center" wrapText="1"/>
    </xf>
    <xf numFmtId="0" fontId="28" fillId="18" borderId="53" xfId="2" applyFont="1" applyFill="1" applyBorder="1" applyAlignment="1">
      <alignment horizontal="center"/>
    </xf>
    <xf numFmtId="0" fontId="28" fillId="0" borderId="27" xfId="2" applyFont="1" applyBorder="1"/>
    <xf numFmtId="0" fontId="28" fillId="0" borderId="28" xfId="2" applyFont="1" applyBorder="1"/>
    <xf numFmtId="0" fontId="28" fillId="15" borderId="2" xfId="2" applyFont="1" applyFill="1"/>
    <xf numFmtId="0" fontId="31" fillId="15" borderId="41" xfId="2" applyFont="1" applyFill="1" applyBorder="1" applyAlignment="1">
      <alignment horizontal="center" vertical="center" wrapText="1"/>
    </xf>
    <xf numFmtId="0" fontId="31" fillId="15" borderId="49" xfId="2" applyFont="1" applyFill="1" applyBorder="1" applyAlignment="1">
      <alignment horizontal="center" vertical="center"/>
    </xf>
    <xf numFmtId="0" fontId="28" fillId="0" borderId="50" xfId="2" applyFont="1" applyBorder="1" applyAlignment="1">
      <alignment horizontal="center"/>
    </xf>
    <xf numFmtId="0" fontId="28" fillId="0" borderId="51" xfId="2" applyFont="1" applyBorder="1" applyAlignment="1">
      <alignment horizontal="center"/>
    </xf>
    <xf numFmtId="0" fontId="31" fillId="15" borderId="38" xfId="2" applyFont="1" applyFill="1" applyBorder="1" applyAlignment="1">
      <alignment horizontal="center" vertical="center"/>
    </xf>
    <xf numFmtId="0" fontId="31" fillId="15" borderId="18" xfId="2" applyFont="1" applyFill="1" applyBorder="1" applyAlignment="1">
      <alignment horizontal="center" vertical="center"/>
    </xf>
    <xf numFmtId="9" fontId="28" fillId="0" borderId="19" xfId="3" applyFont="1" applyBorder="1" applyAlignment="1">
      <alignment horizontal="center"/>
    </xf>
    <xf numFmtId="0" fontId="28" fillId="0" borderId="12" xfId="2" applyFont="1" applyBorder="1" applyAlignment="1">
      <alignment horizontal="center" vertical="center"/>
    </xf>
    <xf numFmtId="0" fontId="28" fillId="0" borderId="12" xfId="2" applyFont="1" applyBorder="1" applyAlignment="1">
      <alignment horizontal="center" vertical="center" wrapText="1"/>
    </xf>
    <xf numFmtId="14" fontId="28" fillId="0" borderId="16" xfId="2" applyNumberFormat="1" applyFont="1" applyBorder="1"/>
    <xf numFmtId="0" fontId="28" fillId="0" borderId="16" xfId="2" applyFont="1" applyBorder="1" applyAlignment="1">
      <alignment vertical="center"/>
    </xf>
    <xf numFmtId="0" fontId="28" fillId="0" borderId="17" xfId="2" applyFont="1" applyBorder="1"/>
    <xf numFmtId="14" fontId="28" fillId="0" borderId="36" xfId="2" applyNumberFormat="1" applyFont="1" applyBorder="1"/>
    <xf numFmtId="0" fontId="28" fillId="0" borderId="39" xfId="2" applyFont="1" applyBorder="1"/>
    <xf numFmtId="14" fontId="28" fillId="19" borderId="19" xfId="2" applyNumberFormat="1" applyFont="1" applyFill="1" applyBorder="1"/>
    <xf numFmtId="0" fontId="28" fillId="0" borderId="19" xfId="2" applyFont="1" applyBorder="1" applyAlignment="1">
      <alignment vertical="center"/>
    </xf>
    <xf numFmtId="0" fontId="28" fillId="0" borderId="20" xfId="2" applyFont="1" applyBorder="1"/>
    <xf numFmtId="0" fontId="28" fillId="0" borderId="25" xfId="2" applyFont="1" applyBorder="1"/>
    <xf numFmtId="0" fontId="36" fillId="0" borderId="36" xfId="2" applyFont="1" applyBorder="1" applyAlignment="1">
      <alignment horizontal="center" vertical="center"/>
    </xf>
    <xf numFmtId="0" fontId="0" fillId="3" borderId="0" xfId="0" applyFill="1"/>
    <xf numFmtId="0" fontId="0" fillId="3" borderId="0" xfId="0" applyFill="1" applyAlignment="1">
      <alignment vertical="center"/>
    </xf>
    <xf numFmtId="0" fontId="22" fillId="3" borderId="2" xfId="0" applyFont="1" applyFill="1" applyBorder="1" applyAlignment="1">
      <alignment wrapText="1"/>
    </xf>
    <xf numFmtId="0" fontId="0" fillId="3" borderId="2" xfId="0" applyFill="1" applyBorder="1"/>
    <xf numFmtId="0" fontId="22" fillId="3" borderId="2" xfId="0" applyFont="1" applyFill="1" applyBorder="1"/>
    <xf numFmtId="0" fontId="20" fillId="3" borderId="0" xfId="0" applyFont="1" applyFill="1"/>
    <xf numFmtId="0" fontId="22" fillId="3" borderId="2" xfId="0" applyFont="1" applyFill="1" applyBorder="1" applyAlignment="1">
      <alignment horizontal="center" wrapText="1"/>
    </xf>
    <xf numFmtId="0" fontId="22" fillId="3" borderId="2" xfId="0" applyFont="1" applyFill="1" applyBorder="1" applyAlignment="1">
      <alignment horizontal="center"/>
    </xf>
    <xf numFmtId="0" fontId="22" fillId="11" borderId="36" xfId="6" applyFont="1" applyBorder="1" applyAlignment="1">
      <alignment vertical="center" wrapText="1"/>
    </xf>
    <xf numFmtId="0" fontId="22" fillId="11" borderId="54" xfId="6" applyFont="1" applyBorder="1" applyAlignment="1">
      <alignment vertical="center" wrapText="1"/>
    </xf>
    <xf numFmtId="0" fontId="1" fillId="11" borderId="36" xfId="6" applyBorder="1" applyAlignment="1">
      <alignment horizontal="center" vertical="center" wrapText="1"/>
    </xf>
    <xf numFmtId="0" fontId="1" fillId="11" borderId="36" xfId="6" applyBorder="1" applyAlignment="1">
      <alignment horizontal="center" vertical="center"/>
    </xf>
    <xf numFmtId="0" fontId="1" fillId="11" borderId="94" xfId="6" applyBorder="1" applyAlignment="1">
      <alignment horizontal="center" vertical="center"/>
    </xf>
    <xf numFmtId="0" fontId="1" fillId="11" borderId="100" xfId="6" applyBorder="1" applyAlignment="1">
      <alignment horizontal="center"/>
    </xf>
    <xf numFmtId="0" fontId="1" fillId="11" borderId="101" xfId="6" applyBorder="1" applyAlignment="1">
      <alignment horizontal="center"/>
    </xf>
    <xf numFmtId="0" fontId="0" fillId="3" borderId="0" xfId="0" applyFill="1" applyAlignment="1">
      <alignment horizontal="center"/>
    </xf>
    <xf numFmtId="0" fontId="22" fillId="3" borderId="0" xfId="0" applyFont="1" applyFill="1" applyAlignment="1">
      <alignment horizontal="center" vertical="center"/>
    </xf>
    <xf numFmtId="0" fontId="39" fillId="3" borderId="36" xfId="0" applyFont="1" applyFill="1" applyBorder="1" applyAlignment="1">
      <alignment horizontal="center" vertical="center" wrapText="1"/>
    </xf>
    <xf numFmtId="0" fontId="39" fillId="3" borderId="36" xfId="0" applyFont="1" applyFill="1" applyBorder="1" applyAlignment="1">
      <alignment vertical="center"/>
    </xf>
    <xf numFmtId="0" fontId="0" fillId="3" borderId="36" xfId="0" applyFill="1" applyBorder="1" applyAlignment="1">
      <alignment horizontal="center"/>
    </xf>
    <xf numFmtId="0" fontId="0" fillId="3" borderId="36" xfId="0" applyFill="1" applyBorder="1" applyAlignment="1">
      <alignment horizontal="center" vertical="center"/>
    </xf>
    <xf numFmtId="0" fontId="0" fillId="3" borderId="36" xfId="0" applyFill="1" applyBorder="1" applyAlignment="1">
      <alignment horizontal="center" wrapText="1"/>
    </xf>
    <xf numFmtId="0" fontId="40" fillId="3" borderId="36" xfId="0" applyFont="1" applyFill="1" applyBorder="1" applyAlignment="1">
      <alignment horizontal="center"/>
    </xf>
    <xf numFmtId="0" fontId="0" fillId="3" borderId="36" xfId="0" applyFill="1" applyBorder="1"/>
    <xf numFmtId="0" fontId="22" fillId="10" borderId="36" xfId="5" applyFont="1" applyBorder="1" applyAlignment="1">
      <alignment horizontal="center" vertical="center"/>
    </xf>
    <xf numFmtId="0" fontId="22" fillId="10" borderId="82" xfId="5" applyFont="1" applyBorder="1"/>
    <xf numFmtId="0" fontId="22" fillId="10" borderId="36" xfId="5" applyFont="1" applyBorder="1"/>
    <xf numFmtId="0" fontId="22" fillId="10" borderId="36" xfId="5" applyFont="1" applyBorder="1" applyAlignment="1">
      <alignment horizontal="center"/>
    </xf>
    <xf numFmtId="0" fontId="1" fillId="10" borderId="36" xfId="5" applyBorder="1"/>
    <xf numFmtId="0" fontId="1" fillId="10" borderId="36" xfId="5" applyBorder="1" applyAlignment="1">
      <alignment horizontal="center"/>
    </xf>
    <xf numFmtId="0" fontId="22" fillId="20" borderId="36" xfId="0" applyFont="1" applyFill="1" applyBorder="1" applyAlignment="1">
      <alignment horizontal="center"/>
    </xf>
    <xf numFmtId="2" fontId="22" fillId="10" borderId="36" xfId="5" applyNumberFormat="1" applyFont="1" applyBorder="1" applyAlignment="1">
      <alignment horizontal="center"/>
    </xf>
    <xf numFmtId="4" fontId="0" fillId="0" borderId="0" xfId="0" applyNumberFormat="1"/>
    <xf numFmtId="2" fontId="0" fillId="0" borderId="0" xfId="0" applyNumberFormat="1"/>
    <xf numFmtId="0" fontId="20" fillId="0" borderId="0" xfId="0" applyFont="1"/>
    <xf numFmtId="166" fontId="0" fillId="0" borderId="0" xfId="0" applyNumberFormat="1"/>
    <xf numFmtId="0" fontId="42" fillId="21" borderId="36" xfId="0" applyFont="1" applyFill="1" applyBorder="1"/>
    <xf numFmtId="0" fontId="4" fillId="0" borderId="2" xfId="0" applyFont="1" applyBorder="1" applyAlignment="1">
      <alignment horizontal="left" vertical="center"/>
    </xf>
    <xf numFmtId="0" fontId="43" fillId="0" borderId="91" xfId="0" applyFont="1" applyBorder="1"/>
    <xf numFmtId="0" fontId="43" fillId="0" borderId="102" xfId="0" applyFont="1" applyBorder="1"/>
    <xf numFmtId="0" fontId="21" fillId="20" borderId="103" xfId="0" applyFont="1" applyFill="1" applyBorder="1"/>
    <xf numFmtId="0" fontId="40" fillId="0" borderId="0" xfId="0" applyFont="1"/>
    <xf numFmtId="0" fontId="1" fillId="0" borderId="36" xfId="5" applyFill="1" applyBorder="1"/>
    <xf numFmtId="0" fontId="35" fillId="0" borderId="16" xfId="2" applyFont="1" applyBorder="1"/>
    <xf numFmtId="0" fontId="35" fillId="0" borderId="36" xfId="2" applyFont="1" applyBorder="1"/>
    <xf numFmtId="0" fontId="28" fillId="0" borderId="95" xfId="2" applyFont="1" applyBorder="1"/>
    <xf numFmtId="0" fontId="28" fillId="0" borderId="50" xfId="2" applyFont="1" applyBorder="1"/>
    <xf numFmtId="0" fontId="13" fillId="0" borderId="104" xfId="0" applyFont="1" applyBorder="1"/>
    <xf numFmtId="0" fontId="23" fillId="6" borderId="61" xfId="0" applyFont="1" applyFill="1" applyBorder="1"/>
    <xf numFmtId="0" fontId="4" fillId="0" borderId="2" xfId="0" applyFont="1" applyBorder="1" applyAlignment="1">
      <alignment horizontal="left" vertical="center" wrapText="1"/>
    </xf>
    <xf numFmtId="0" fontId="0" fillId="0" borderId="0" xfId="0" applyAlignment="1">
      <alignment horizontal="center"/>
    </xf>
    <xf numFmtId="0" fontId="4" fillId="3" borderId="0" xfId="0" applyFont="1" applyFill="1"/>
    <xf numFmtId="0" fontId="6" fillId="14" borderId="2" xfId="0" applyFont="1" applyFill="1" applyBorder="1" applyAlignment="1">
      <alignment horizontal="center" vertical="center"/>
    </xf>
    <xf numFmtId="165" fontId="7" fillId="0" borderId="16" xfId="0" applyNumberFormat="1" applyFont="1" applyBorder="1" applyAlignment="1">
      <alignment vertical="center" wrapText="1"/>
    </xf>
    <xf numFmtId="0" fontId="23" fillId="6" borderId="2" xfId="0" applyFont="1" applyFill="1" applyBorder="1"/>
    <xf numFmtId="165" fontId="4" fillId="0" borderId="19" xfId="4" applyNumberFormat="1" applyFont="1" applyFill="1" applyBorder="1" applyAlignment="1">
      <alignment vertical="center" wrapText="1"/>
    </xf>
    <xf numFmtId="0" fontId="7" fillId="0" borderId="2" xfId="0" applyFont="1" applyBorder="1" applyAlignment="1">
      <alignment horizontal="left"/>
    </xf>
    <xf numFmtId="0" fontId="4" fillId="0" borderId="38" xfId="0" applyFont="1" applyBorder="1"/>
    <xf numFmtId="0" fontId="4" fillId="0" borderId="36" xfId="0" applyFont="1" applyBorder="1"/>
    <xf numFmtId="167" fontId="4" fillId="0" borderId="36" xfId="0" applyNumberFormat="1" applyFont="1" applyBorder="1"/>
    <xf numFmtId="0" fontId="4" fillId="0" borderId="39" xfId="0" applyFont="1" applyBorder="1"/>
    <xf numFmtId="2" fontId="4" fillId="0" borderId="36" xfId="0" applyNumberFormat="1" applyFont="1" applyBorder="1"/>
    <xf numFmtId="0" fontId="4" fillId="0" borderId="2" xfId="0" applyFont="1" applyBorder="1" applyAlignment="1">
      <alignment vertical="center" wrapText="1"/>
    </xf>
    <xf numFmtId="165" fontId="4" fillId="3" borderId="19" xfId="4" applyNumberFormat="1" applyFont="1" applyFill="1" applyBorder="1" applyAlignment="1">
      <alignment vertical="center" wrapText="1"/>
    </xf>
    <xf numFmtId="165" fontId="27" fillId="0" borderId="9" xfId="4" applyNumberFormat="1" applyFont="1" applyBorder="1" applyAlignment="1">
      <alignment vertical="center" wrapText="1"/>
    </xf>
    <xf numFmtId="0" fontId="4" fillId="0" borderId="18" xfId="0" applyFont="1" applyBorder="1"/>
    <xf numFmtId="0" fontId="4" fillId="0" borderId="19" xfId="0" applyFont="1" applyBorder="1"/>
    <xf numFmtId="0" fontId="4" fillId="0" borderId="20" xfId="0" applyFont="1" applyBorder="1"/>
    <xf numFmtId="0" fontId="6" fillId="14" borderId="59" xfId="0" applyFont="1" applyFill="1" applyBorder="1" applyAlignment="1">
      <alignment vertical="center"/>
    </xf>
    <xf numFmtId="43" fontId="4" fillId="0" borderId="54" xfId="4" applyFont="1" applyBorder="1" applyAlignment="1">
      <alignment vertical="center"/>
    </xf>
    <xf numFmtId="0" fontId="4" fillId="0" borderId="54" xfId="0" applyFont="1" applyBorder="1" applyAlignment="1">
      <alignment vertical="center"/>
    </xf>
    <xf numFmtId="0" fontId="4" fillId="0" borderId="51" xfId="0" applyFont="1" applyBorder="1" applyAlignment="1">
      <alignment vertical="center"/>
    </xf>
    <xf numFmtId="43" fontId="4" fillId="3" borderId="36" xfId="4" applyFont="1" applyFill="1" applyBorder="1" applyAlignment="1">
      <alignment vertical="center"/>
    </xf>
    <xf numFmtId="0" fontId="7" fillId="0" borderId="55" xfId="0" applyFont="1" applyBorder="1" applyAlignment="1">
      <alignment vertical="center" wrapText="1"/>
    </xf>
    <xf numFmtId="43" fontId="4" fillId="0" borderId="54" xfId="0" applyNumberFormat="1" applyFont="1" applyBorder="1" applyAlignment="1">
      <alignment vertical="center"/>
    </xf>
    <xf numFmtId="43" fontId="4" fillId="0" borderId="36" xfId="0" applyNumberFormat="1" applyFont="1" applyBorder="1"/>
    <xf numFmtId="0" fontId="4" fillId="0" borderId="87" xfId="0" applyFont="1" applyBorder="1" applyAlignment="1">
      <alignment vertical="center" wrapText="1"/>
    </xf>
    <xf numFmtId="0" fontId="4" fillId="0" borderId="76" xfId="0" applyFont="1" applyBorder="1" applyAlignment="1">
      <alignment vertical="center" wrapText="1"/>
    </xf>
    <xf numFmtId="0" fontId="4" fillId="0" borderId="2" xfId="0" applyFont="1" applyBorder="1"/>
    <xf numFmtId="165" fontId="4" fillId="0" borderId="2" xfId="4" applyNumberFormat="1" applyFont="1" applyBorder="1" applyAlignment="1">
      <alignment vertical="center" wrapText="1"/>
    </xf>
    <xf numFmtId="165" fontId="27" fillId="0" borderId="2" xfId="4" applyNumberFormat="1" applyFont="1" applyBorder="1" applyAlignment="1">
      <alignment vertical="center" wrapText="1"/>
    </xf>
    <xf numFmtId="43" fontId="4" fillId="0" borderId="2" xfId="0" applyNumberFormat="1" applyFont="1" applyBorder="1"/>
    <xf numFmtId="0" fontId="15" fillId="0" borderId="16" xfId="0" applyFont="1" applyBorder="1" applyAlignment="1">
      <alignment vertical="center"/>
    </xf>
    <xf numFmtId="168" fontId="4" fillId="0" borderId="19" xfId="0" applyNumberFormat="1" applyFont="1" applyBorder="1" applyAlignment="1">
      <alignment vertical="center"/>
    </xf>
    <xf numFmtId="2" fontId="5" fillId="0" borderId="0" xfId="0" applyNumberFormat="1" applyFont="1"/>
    <xf numFmtId="0" fontId="11" fillId="3" borderId="0" xfId="0" applyFont="1" applyFill="1"/>
    <xf numFmtId="0" fontId="7" fillId="3" borderId="2" xfId="0" applyFont="1" applyFill="1" applyBorder="1"/>
    <xf numFmtId="168" fontId="7" fillId="9" borderId="36" xfId="0" applyNumberFormat="1" applyFont="1" applyFill="1" applyBorder="1"/>
    <xf numFmtId="43" fontId="4" fillId="0" borderId="19" xfId="4" applyFont="1" applyBorder="1" applyAlignment="1">
      <alignment vertical="center" wrapText="1"/>
    </xf>
    <xf numFmtId="0" fontId="44" fillId="0" borderId="0" xfId="0" applyFont="1"/>
    <xf numFmtId="0" fontId="0" fillId="16" borderId="0" xfId="0" applyFill="1"/>
    <xf numFmtId="0" fontId="7" fillId="3" borderId="28" xfId="0" applyFont="1" applyFill="1" applyBorder="1" applyAlignment="1">
      <alignment horizontal="left" vertical="center" wrapText="1"/>
    </xf>
    <xf numFmtId="0" fontId="4" fillId="0" borderId="11" xfId="0" applyFont="1" applyBorder="1" applyAlignment="1">
      <alignment horizontal="left" vertical="center" wrapText="1"/>
    </xf>
    <xf numFmtId="0" fontId="10" fillId="0" borderId="13"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15" fillId="0" borderId="11" xfId="0" applyFont="1" applyBorder="1" applyAlignment="1">
      <alignment horizontal="left" vertical="center" wrapText="1"/>
    </xf>
    <xf numFmtId="0" fontId="15" fillId="0" borderId="13"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4" fillId="0" borderId="13" xfId="0" applyFont="1" applyBorder="1" applyAlignment="1">
      <alignment horizontal="left" vertical="center" wrapText="1"/>
    </xf>
    <xf numFmtId="0" fontId="7" fillId="5" borderId="11"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1" xfId="0" applyFont="1" applyFill="1" applyBorder="1" applyAlignment="1">
      <alignment horizontal="left" vertical="center"/>
    </xf>
    <xf numFmtId="0" fontId="7" fillId="5" borderId="13" xfId="0" applyFont="1" applyFill="1" applyBorder="1" applyAlignment="1">
      <alignment horizontal="left" vertical="center"/>
    </xf>
    <xf numFmtId="0" fontId="6" fillId="4" borderId="37" xfId="0" applyFont="1" applyFill="1" applyBorder="1" applyAlignment="1">
      <alignment horizontal="center" vertical="center" wrapText="1"/>
    </xf>
    <xf numFmtId="0" fontId="7" fillId="2" borderId="37" xfId="0" applyFont="1" applyFill="1" applyBorder="1" applyAlignment="1"/>
    <xf numFmtId="0" fontId="7" fillId="2" borderId="43" xfId="0" applyFont="1" applyFill="1" applyBorder="1" applyAlignment="1"/>
    <xf numFmtId="0" fontId="6" fillId="4" borderId="26"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28" xfId="0" applyFont="1" applyFill="1" applyBorder="1" applyAlignment="1">
      <alignment horizontal="center" vertical="center"/>
    </xf>
    <xf numFmtId="0" fontId="6" fillId="7" borderId="44" xfId="0" applyFont="1" applyFill="1" applyBorder="1" applyAlignment="1">
      <alignment horizontal="center" vertical="center"/>
    </xf>
    <xf numFmtId="0" fontId="7" fillId="8" borderId="1" xfId="0" applyFont="1" applyFill="1" applyBorder="1" applyAlignment="1"/>
    <xf numFmtId="0" fontId="7" fillId="8" borderId="31" xfId="0" applyFont="1" applyFill="1" applyBorder="1" applyAlignment="1"/>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164" fontId="4" fillId="0" borderId="11" xfId="0" applyNumberFormat="1" applyFont="1" applyBorder="1" applyAlignment="1">
      <alignment horizontal="center" vertical="center" wrapText="1"/>
    </xf>
    <xf numFmtId="164" fontId="4" fillId="0" borderId="13"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4" fillId="0" borderId="13" xfId="0" applyFont="1" applyBorder="1" applyAlignment="1">
      <alignment horizontal="center" vertical="center" wrapText="1"/>
    </xf>
    <xf numFmtId="0" fontId="19" fillId="4" borderId="4" xfId="0" applyFont="1" applyFill="1" applyBorder="1" applyAlignment="1">
      <alignment horizontal="left" vertical="center"/>
    </xf>
    <xf numFmtId="0" fontId="19" fillId="4" borderId="5" xfId="0" applyFont="1" applyFill="1" applyBorder="1" applyAlignment="1">
      <alignment horizontal="left" vertical="center"/>
    </xf>
    <xf numFmtId="0" fontId="19" fillId="4" borderId="6" xfId="0" applyFont="1" applyFill="1" applyBorder="1" applyAlignment="1">
      <alignment horizontal="left" vertical="center"/>
    </xf>
    <xf numFmtId="0" fontId="19" fillId="4" borderId="8" xfId="0" applyFont="1" applyFill="1" applyBorder="1" applyAlignment="1">
      <alignment horizontal="left" vertical="center"/>
    </xf>
    <xf numFmtId="0" fontId="19" fillId="4" borderId="9" xfId="0" applyFont="1" applyFill="1" applyBorder="1" applyAlignment="1">
      <alignment horizontal="left" vertical="center"/>
    </xf>
    <xf numFmtId="0" fontId="19" fillId="4" borderId="10" xfId="0" applyFont="1" applyFill="1" applyBorder="1" applyAlignment="1">
      <alignment horizontal="left" vertical="center"/>
    </xf>
    <xf numFmtId="0" fontId="6" fillId="4" borderId="22" xfId="0" applyFont="1" applyFill="1" applyBorder="1" applyAlignment="1">
      <alignment horizontal="center" vertical="center"/>
    </xf>
    <xf numFmtId="0" fontId="6" fillId="4" borderId="32"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2" borderId="3" xfId="0" applyFont="1" applyFill="1" applyBorder="1" applyAlignment="1"/>
    <xf numFmtId="0" fontId="7" fillId="2" borderId="14" xfId="0" applyFont="1" applyFill="1" applyBorder="1" applyAlignment="1"/>
    <xf numFmtId="0" fontId="6" fillId="4" borderId="23"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7" fillId="2" borderId="22" xfId="0" applyFont="1" applyFill="1" applyBorder="1" applyAlignment="1"/>
    <xf numFmtId="0" fontId="7" fillId="2" borderId="32" xfId="0" applyFont="1" applyFill="1" applyBorder="1" applyAlignment="1"/>
    <xf numFmtId="0" fontId="7" fillId="2" borderId="23" xfId="0" applyFont="1" applyFill="1" applyBorder="1" applyAlignment="1"/>
    <xf numFmtId="0" fontId="7" fillId="2" borderId="29" xfId="0" applyFont="1" applyFill="1" applyBorder="1" applyAlignment="1"/>
    <xf numFmtId="0" fontId="7" fillId="2" borderId="12" xfId="0" applyFont="1" applyFill="1" applyBorder="1" applyAlignment="1"/>
    <xf numFmtId="0" fontId="7" fillId="2" borderId="13" xfId="0" applyFont="1" applyFill="1" applyBorder="1" applyAlignment="1"/>
    <xf numFmtId="0" fontId="6" fillId="4" borderId="21" xfId="0" applyFont="1" applyFill="1" applyBorder="1" applyAlignment="1">
      <alignment horizontal="center" vertical="center" wrapText="1"/>
    </xf>
    <xf numFmtId="0" fontId="7" fillId="2" borderId="21" xfId="0" applyFont="1" applyFill="1" applyBorder="1" applyAlignment="1"/>
    <xf numFmtId="0" fontId="7" fillId="2" borderId="33" xfId="0" applyFont="1" applyFill="1" applyBorder="1" applyAlignment="1"/>
    <xf numFmtId="0" fontId="29" fillId="6" borderId="4" xfId="2" applyFont="1" applyFill="1" applyBorder="1" applyAlignment="1">
      <alignment horizontal="center" vertical="center"/>
    </xf>
    <xf numFmtId="0" fontId="29" fillId="6" borderId="5" xfId="2" applyFont="1" applyFill="1" applyBorder="1" applyAlignment="1">
      <alignment horizontal="center" vertical="center"/>
    </xf>
    <xf numFmtId="0" fontId="29" fillId="6" borderId="6" xfId="2" applyFont="1" applyFill="1" applyBorder="1" applyAlignment="1">
      <alignment horizontal="center" vertical="center"/>
    </xf>
    <xf numFmtId="0" fontId="29" fillId="6" borderId="66" xfId="2" applyFont="1" applyFill="1" applyBorder="1" applyAlignment="1">
      <alignment horizontal="center" vertical="center"/>
    </xf>
    <xf numFmtId="0" fontId="29" fillId="6" borderId="2" xfId="2" applyFont="1" applyFill="1" applyAlignment="1">
      <alignment horizontal="center" vertical="center"/>
    </xf>
    <xf numFmtId="0" fontId="29" fillId="6" borderId="7" xfId="2" applyFont="1" applyFill="1" applyBorder="1" applyAlignment="1">
      <alignment horizontal="center" vertical="center"/>
    </xf>
    <xf numFmtId="0" fontId="29" fillId="6" borderId="8" xfId="2" applyFont="1" applyFill="1" applyBorder="1" applyAlignment="1">
      <alignment horizontal="center" vertical="center"/>
    </xf>
    <xf numFmtId="0" fontId="29" fillId="6" borderId="9" xfId="2" applyFont="1" applyFill="1" applyBorder="1" applyAlignment="1">
      <alignment horizontal="center" vertical="center"/>
    </xf>
    <xf numFmtId="0" fontId="29" fillId="6" borderId="10" xfId="2" applyFont="1" applyFill="1" applyBorder="1" applyAlignment="1">
      <alignment horizontal="center" vertical="center"/>
    </xf>
    <xf numFmtId="0" fontId="30" fillId="15" borderId="4" xfId="2" applyFont="1" applyFill="1" applyBorder="1" applyAlignment="1">
      <alignment horizontal="center" vertical="center"/>
    </xf>
    <xf numFmtId="0" fontId="30" fillId="15" borderId="5" xfId="2" applyFont="1" applyFill="1" applyBorder="1" applyAlignment="1">
      <alignment horizontal="center" vertical="center"/>
    </xf>
    <xf numFmtId="0" fontId="30" fillId="15" borderId="66" xfId="2" applyFont="1" applyFill="1" applyBorder="1" applyAlignment="1">
      <alignment horizontal="center" vertical="center"/>
    </xf>
    <xf numFmtId="0" fontId="30" fillId="15" borderId="2" xfId="2" applyFont="1" applyFill="1" applyAlignment="1">
      <alignment horizontal="center" vertical="center"/>
    </xf>
    <xf numFmtId="0" fontId="30" fillId="15" borderId="8" xfId="2" applyFont="1" applyFill="1" applyBorder="1" applyAlignment="1">
      <alignment horizontal="center" vertical="center"/>
    </xf>
    <xf numFmtId="0" fontId="30" fillId="15" borderId="9" xfId="2" applyFont="1" applyFill="1" applyBorder="1" applyAlignment="1">
      <alignment horizontal="center" vertical="center"/>
    </xf>
    <xf numFmtId="0" fontId="30" fillId="15" borderId="6" xfId="2" applyFont="1" applyFill="1" applyBorder="1" applyAlignment="1">
      <alignment horizontal="center" vertical="center"/>
    </xf>
    <xf numFmtId="0" fontId="30" fillId="15" borderId="7" xfId="2" applyFont="1" applyFill="1" applyBorder="1" applyAlignment="1">
      <alignment horizontal="center" vertical="center"/>
    </xf>
    <xf numFmtId="0" fontId="30" fillId="15" borderId="10" xfId="2" applyFont="1" applyFill="1" applyBorder="1" applyAlignment="1">
      <alignment horizontal="center" vertical="center"/>
    </xf>
    <xf numFmtId="0" fontId="31" fillId="15" borderId="75" xfId="2" applyFont="1" applyFill="1" applyBorder="1" applyAlignment="1">
      <alignment horizontal="center"/>
    </xf>
    <xf numFmtId="0" fontId="31" fillId="15" borderId="76" xfId="2" applyFont="1" applyFill="1" applyBorder="1" applyAlignment="1">
      <alignment horizontal="center"/>
    </xf>
    <xf numFmtId="0" fontId="31" fillId="15" borderId="77" xfId="2" applyFont="1" applyFill="1" applyBorder="1" applyAlignment="1">
      <alignment horizontal="center"/>
    </xf>
    <xf numFmtId="0" fontId="31" fillId="15" borderId="26" xfId="2" applyFont="1" applyFill="1" applyBorder="1" applyAlignment="1">
      <alignment horizontal="center"/>
    </xf>
    <xf numFmtId="0" fontId="31" fillId="15" borderId="27" xfId="2" applyFont="1" applyFill="1" applyBorder="1" applyAlignment="1">
      <alignment horizontal="center"/>
    </xf>
    <xf numFmtId="0" fontId="31" fillId="15" borderId="28" xfId="2" applyFont="1" applyFill="1" applyBorder="1" applyAlignment="1">
      <alignment horizontal="center"/>
    </xf>
    <xf numFmtId="0" fontId="31" fillId="15" borderId="41" xfId="2" applyFont="1" applyFill="1" applyBorder="1" applyAlignment="1">
      <alignment horizontal="center" vertical="center"/>
    </xf>
    <xf numFmtId="0" fontId="31" fillId="15" borderId="52" xfId="2" applyFont="1" applyFill="1" applyBorder="1" applyAlignment="1">
      <alignment horizontal="center" vertical="center"/>
    </xf>
    <xf numFmtId="0" fontId="31" fillId="15" borderId="42" xfId="2" applyFont="1" applyFill="1" applyBorder="1" applyAlignment="1">
      <alignment horizontal="center" vertical="center"/>
    </xf>
    <xf numFmtId="0" fontId="28" fillId="0" borderId="15" xfId="2" applyFont="1" applyBorder="1" applyAlignment="1">
      <alignment horizontal="center" vertical="center" wrapText="1"/>
    </xf>
    <xf numFmtId="0" fontId="28" fillId="0" borderId="16" xfId="2" applyFont="1" applyBorder="1" applyAlignment="1">
      <alignment horizontal="center" vertical="center" wrapText="1"/>
    </xf>
    <xf numFmtId="0" fontId="28" fillId="0" borderId="17" xfId="2" applyFont="1" applyBorder="1" applyAlignment="1">
      <alignment horizontal="center" vertical="center" wrapText="1"/>
    </xf>
    <xf numFmtId="0" fontId="28" fillId="0" borderId="38"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39" xfId="2" applyFont="1" applyBorder="1" applyAlignment="1">
      <alignment horizontal="center" vertical="center" wrapText="1"/>
    </xf>
    <xf numFmtId="0" fontId="28" fillId="0" borderId="18" xfId="2" applyFont="1" applyBorder="1" applyAlignment="1">
      <alignment horizontal="center" vertical="center" wrapText="1"/>
    </xf>
    <xf numFmtId="0" fontId="28" fillId="0" borderId="19" xfId="2" applyFont="1" applyBorder="1" applyAlignment="1">
      <alignment horizontal="center" vertical="center" wrapText="1"/>
    </xf>
    <xf numFmtId="0" fontId="28" fillId="0" borderId="20" xfId="2" applyFont="1" applyBorder="1" applyAlignment="1">
      <alignment horizontal="center" vertical="center" wrapText="1"/>
    </xf>
    <xf numFmtId="0" fontId="28" fillId="0" borderId="4" xfId="2" applyFont="1" applyBorder="1" applyAlignment="1">
      <alignment horizontal="center" vertical="center" wrapText="1"/>
    </xf>
    <xf numFmtId="0" fontId="28" fillId="0" borderId="5" xfId="2" applyFont="1" applyBorder="1" applyAlignment="1">
      <alignment horizontal="center" vertical="center" wrapText="1"/>
    </xf>
    <xf numFmtId="0" fontId="28" fillId="0" borderId="6" xfId="2" applyFont="1" applyBorder="1" applyAlignment="1">
      <alignment horizontal="center" vertical="center" wrapText="1"/>
    </xf>
    <xf numFmtId="0" fontId="28" fillId="0" borderId="66" xfId="2" applyFont="1" applyBorder="1" applyAlignment="1">
      <alignment horizontal="center" vertical="center" wrapText="1"/>
    </xf>
    <xf numFmtId="0" fontId="28" fillId="0" borderId="2" xfId="2" applyFont="1" applyAlignment="1">
      <alignment horizontal="center" vertical="center" wrapText="1"/>
    </xf>
    <xf numFmtId="0" fontId="28" fillId="0" borderId="7" xfId="2" applyFont="1" applyBorder="1" applyAlignment="1">
      <alignment horizontal="center" vertical="center" wrapText="1"/>
    </xf>
    <xf numFmtId="0" fontId="28" fillId="0" borderId="8" xfId="2" applyFont="1" applyBorder="1" applyAlignment="1">
      <alignment horizontal="center" vertical="center" wrapText="1"/>
    </xf>
    <xf numFmtId="0" fontId="28" fillId="0" borderId="9" xfId="2" applyFont="1" applyBorder="1" applyAlignment="1">
      <alignment horizontal="center" vertical="center" wrapText="1"/>
    </xf>
    <xf numFmtId="0" fontId="28" fillId="0" borderId="10" xfId="2" applyFont="1" applyBorder="1" applyAlignment="1">
      <alignment horizontal="center" vertical="center" wrapText="1"/>
    </xf>
    <xf numFmtId="0" fontId="31" fillId="0" borderId="4" xfId="2" applyFont="1" applyBorder="1" applyAlignment="1">
      <alignment horizontal="center" vertical="center"/>
    </xf>
    <xf numFmtId="0" fontId="31" fillId="0" borderId="6" xfId="2" applyFont="1" applyBorder="1" applyAlignment="1">
      <alignment horizontal="center" vertical="center"/>
    </xf>
    <xf numFmtId="0" fontId="31" fillId="0" borderId="5" xfId="2" applyFont="1" applyBorder="1" applyAlignment="1">
      <alignment horizontal="center" vertical="center" wrapText="1"/>
    </xf>
    <xf numFmtId="0" fontId="31" fillId="0" borderId="6" xfId="2" applyFont="1" applyBorder="1" applyAlignment="1">
      <alignment horizontal="center" vertical="center" wrapText="1"/>
    </xf>
    <xf numFmtId="0" fontId="31" fillId="0" borderId="2" xfId="2" applyFont="1" applyAlignment="1">
      <alignment horizontal="center" vertical="center" wrapText="1"/>
    </xf>
    <xf numFmtId="0" fontId="31" fillId="0" borderId="7" xfId="2" applyFont="1" applyBorder="1" applyAlignment="1">
      <alignment horizontal="center" vertical="center" wrapText="1"/>
    </xf>
    <xf numFmtId="0" fontId="31" fillId="15" borderId="26" xfId="2" applyFont="1" applyFill="1" applyBorder="1" applyAlignment="1">
      <alignment horizontal="center" vertical="center"/>
    </xf>
    <xf numFmtId="0" fontId="31" fillId="15" borderId="27" xfId="2" applyFont="1" applyFill="1" applyBorder="1" applyAlignment="1">
      <alignment horizontal="center" vertical="center"/>
    </xf>
    <xf numFmtId="0" fontId="31" fillId="15" borderId="28" xfId="2" applyFont="1" applyFill="1" applyBorder="1" applyAlignment="1">
      <alignment horizontal="center" vertical="center"/>
    </xf>
    <xf numFmtId="0" fontId="31" fillId="15" borderId="78" xfId="2" applyFont="1" applyFill="1" applyBorder="1" applyAlignment="1">
      <alignment horizontal="center" vertical="center"/>
    </xf>
    <xf numFmtId="0" fontId="31" fillId="0" borderId="4" xfId="2" applyFont="1" applyBorder="1" applyAlignment="1">
      <alignment horizontal="center" vertical="center" wrapText="1"/>
    </xf>
    <xf numFmtId="0" fontId="31" fillId="0" borderId="66" xfId="2" applyFont="1" applyBorder="1" applyAlignment="1">
      <alignment horizontal="center" vertical="center" wrapText="1"/>
    </xf>
    <xf numFmtId="0" fontId="31" fillId="0" borderId="16" xfId="2" applyFont="1" applyBorder="1" applyAlignment="1">
      <alignment horizontal="center" vertical="center"/>
    </xf>
    <xf numFmtId="0" fontId="31" fillId="0" borderId="19" xfId="2" applyFont="1" applyBorder="1" applyAlignment="1">
      <alignment horizontal="center" vertical="center"/>
    </xf>
    <xf numFmtId="0" fontId="31" fillId="0" borderId="80" xfId="2" applyFont="1" applyBorder="1" applyAlignment="1">
      <alignment horizontal="center" vertical="center"/>
    </xf>
    <xf numFmtId="0" fontId="31" fillId="0" borderId="83" xfId="2" applyFont="1" applyBorder="1" applyAlignment="1">
      <alignment horizontal="center" vertical="center"/>
    </xf>
    <xf numFmtId="0" fontId="31" fillId="0" borderId="10" xfId="2" applyFont="1" applyBorder="1" applyAlignment="1">
      <alignment horizontal="center" vertical="center"/>
    </xf>
    <xf numFmtId="0" fontId="31" fillId="15" borderId="67" xfId="2" applyFont="1" applyFill="1" applyBorder="1" applyAlignment="1">
      <alignment horizontal="center" vertical="center"/>
    </xf>
    <xf numFmtId="0" fontId="31" fillId="15" borderId="84" xfId="2" applyFont="1" applyFill="1" applyBorder="1" applyAlignment="1">
      <alignment horizontal="center" vertical="center"/>
    </xf>
    <xf numFmtId="0" fontId="31" fillId="15" borderId="85" xfId="2" applyFont="1" applyFill="1" applyBorder="1" applyAlignment="1">
      <alignment horizontal="center" vertical="center"/>
    </xf>
    <xf numFmtId="0" fontId="28" fillId="0" borderId="76" xfId="2" applyFont="1" applyBorder="1" applyAlignment="1">
      <alignment horizontal="center" vertical="center"/>
    </xf>
    <xf numFmtId="0" fontId="28" fillId="0" borderId="81" xfId="2" applyFont="1" applyBorder="1" applyAlignment="1">
      <alignment horizontal="center" vertical="center"/>
    </xf>
    <xf numFmtId="0" fontId="28" fillId="0" borderId="84" xfId="2" applyFont="1" applyBorder="1" applyAlignment="1">
      <alignment horizontal="center" vertical="center"/>
    </xf>
    <xf numFmtId="0" fontId="28" fillId="15" borderId="26" xfId="2" applyFont="1" applyFill="1" applyBorder="1" applyAlignment="1">
      <alignment horizontal="center" vertical="center"/>
    </xf>
    <xf numFmtId="0" fontId="28" fillId="15" borderId="27" xfId="2" applyFont="1" applyFill="1" applyBorder="1" applyAlignment="1">
      <alignment horizontal="center" vertical="center"/>
    </xf>
    <xf numFmtId="0" fontId="28" fillId="15" borderId="28" xfId="2" applyFont="1" applyFill="1" applyBorder="1" applyAlignment="1">
      <alignment horizontal="center" vertical="center"/>
    </xf>
    <xf numFmtId="0" fontId="31" fillId="0" borderId="15" xfId="2" applyFont="1" applyBorder="1" applyAlignment="1">
      <alignment horizontal="center" vertical="center"/>
    </xf>
    <xf numFmtId="0" fontId="31" fillId="0" borderId="18" xfId="2" applyFont="1" applyBorder="1" applyAlignment="1">
      <alignment horizontal="center" vertical="center"/>
    </xf>
    <xf numFmtId="2" fontId="28" fillId="15" borderId="75" xfId="2" applyNumberFormat="1" applyFont="1" applyFill="1" applyBorder="1" applyAlignment="1">
      <alignment horizontal="center"/>
    </xf>
    <xf numFmtId="2" fontId="28" fillId="15" borderId="76" xfId="2" applyNumberFormat="1" applyFont="1" applyFill="1" applyBorder="1" applyAlignment="1">
      <alignment horizontal="center"/>
    </xf>
    <xf numFmtId="2" fontId="28" fillId="15" borderId="77" xfId="2" applyNumberFormat="1" applyFont="1" applyFill="1" applyBorder="1" applyAlignment="1">
      <alignment horizontal="center"/>
    </xf>
    <xf numFmtId="2" fontId="28" fillId="0" borderId="15" xfId="2" applyNumberFormat="1" applyFont="1" applyBorder="1" applyAlignment="1">
      <alignment horizontal="center" vertical="center"/>
    </xf>
    <xf numFmtId="2" fontId="28" fillId="0" borderId="16" xfId="2" applyNumberFormat="1" applyFont="1" applyBorder="1" applyAlignment="1">
      <alignment horizontal="center" vertical="center"/>
    </xf>
    <xf numFmtId="2" fontId="28" fillId="15" borderId="75" xfId="2" applyNumberFormat="1" applyFont="1" applyFill="1" applyBorder="1" applyAlignment="1">
      <alignment horizontal="center" vertical="center"/>
    </xf>
    <xf numFmtId="2" fontId="28" fillId="15" borderId="76" xfId="2" applyNumberFormat="1" applyFont="1" applyFill="1" applyBorder="1" applyAlignment="1">
      <alignment horizontal="center" vertical="center"/>
    </xf>
    <xf numFmtId="2" fontId="28" fillId="15" borderId="77" xfId="2" applyNumberFormat="1" applyFont="1" applyFill="1" applyBorder="1" applyAlignment="1">
      <alignment horizontal="center" vertical="center"/>
    </xf>
    <xf numFmtId="0" fontId="28" fillId="15" borderId="11" xfId="2" applyFont="1" applyFill="1" applyBorder="1" applyAlignment="1">
      <alignment horizontal="center" vertical="center"/>
    </xf>
    <xf numFmtId="0" fontId="28" fillId="15" borderId="12" xfId="2" applyFont="1" applyFill="1" applyBorder="1" applyAlignment="1">
      <alignment horizontal="center" vertical="center"/>
    </xf>
    <xf numFmtId="0" fontId="28" fillId="15" borderId="13" xfId="2" applyFont="1" applyFill="1" applyBorder="1" applyAlignment="1">
      <alignment horizontal="center" vertical="center"/>
    </xf>
    <xf numFmtId="0" fontId="28" fillId="0" borderId="87" xfId="2" applyFont="1" applyBorder="1" applyAlignment="1">
      <alignment horizontal="center" vertical="center"/>
    </xf>
    <xf numFmtId="0" fontId="28" fillId="0" borderId="88" xfId="2" applyFont="1" applyBorder="1" applyAlignment="1">
      <alignment horizontal="center" vertical="center"/>
    </xf>
    <xf numFmtId="0" fontId="28" fillId="0" borderId="74" xfId="2" applyFont="1" applyBorder="1" applyAlignment="1">
      <alignment horizontal="center" vertical="center"/>
    </xf>
    <xf numFmtId="0" fontId="28" fillId="0" borderId="80" xfId="2" applyFont="1" applyBorder="1" applyAlignment="1">
      <alignment horizontal="center" vertical="center"/>
    </xf>
    <xf numFmtId="0" fontId="28" fillId="0" borderId="89" xfId="2" applyFont="1" applyBorder="1" applyAlignment="1">
      <alignment horizontal="center" vertical="center"/>
    </xf>
    <xf numFmtId="0" fontId="28" fillId="0" borderId="83" xfId="2" applyFont="1" applyBorder="1" applyAlignment="1">
      <alignment horizontal="center" vertical="center"/>
    </xf>
    <xf numFmtId="0" fontId="28" fillId="0" borderId="77" xfId="2" applyFont="1" applyBorder="1" applyAlignment="1">
      <alignment horizontal="center" vertical="center"/>
    </xf>
    <xf numFmtId="0" fontId="28" fillId="0" borderId="71" xfId="2" applyFont="1" applyBorder="1" applyAlignment="1">
      <alignment horizontal="center" vertical="center"/>
    </xf>
    <xf numFmtId="0" fontId="28" fillId="0" borderId="85" xfId="2" applyFont="1" applyBorder="1" applyAlignment="1">
      <alignment horizontal="center" vertical="center"/>
    </xf>
    <xf numFmtId="2" fontId="28" fillId="0" borderId="4" xfId="2" applyNumberFormat="1" applyFont="1" applyBorder="1" applyAlignment="1">
      <alignment horizontal="center" vertical="center"/>
    </xf>
    <xf numFmtId="2" fontId="28" fillId="0" borderId="5" xfId="2" applyNumberFormat="1" applyFont="1" applyBorder="1" applyAlignment="1">
      <alignment horizontal="center" vertical="center"/>
    </xf>
    <xf numFmtId="2" fontId="28" fillId="0" borderId="6" xfId="2" applyNumberFormat="1" applyFont="1" applyBorder="1" applyAlignment="1">
      <alignment horizontal="center" vertical="center"/>
    </xf>
    <xf numFmtId="2" fontId="28" fillId="0" borderId="66" xfId="2" applyNumberFormat="1" applyFont="1" applyBorder="1" applyAlignment="1">
      <alignment horizontal="center" vertical="center"/>
    </xf>
    <xf numFmtId="2" fontId="28" fillId="0" borderId="2" xfId="2" applyNumberFormat="1" applyFont="1" applyAlignment="1">
      <alignment horizontal="center" vertical="center"/>
    </xf>
    <xf numFmtId="2" fontId="28" fillId="0" borderId="7" xfId="2" applyNumberFormat="1" applyFont="1" applyBorder="1" applyAlignment="1">
      <alignment horizontal="center" vertical="center"/>
    </xf>
    <xf numFmtId="2" fontId="28" fillId="0" borderId="17" xfId="2" applyNumberFormat="1" applyFont="1" applyBorder="1" applyAlignment="1">
      <alignment horizontal="center" vertical="center"/>
    </xf>
    <xf numFmtId="2" fontId="28" fillId="0" borderId="36" xfId="2" applyNumberFormat="1" applyFont="1" applyBorder="1" applyAlignment="1">
      <alignment horizontal="center" vertical="center"/>
    </xf>
    <xf numFmtId="2" fontId="28" fillId="0" borderId="39" xfId="2" applyNumberFormat="1" applyFont="1" applyBorder="1" applyAlignment="1">
      <alignment horizontal="center" vertical="center"/>
    </xf>
    <xf numFmtId="2" fontId="28" fillId="0" borderId="19" xfId="2" applyNumberFormat="1" applyFont="1" applyBorder="1" applyAlignment="1">
      <alignment horizontal="center" vertical="center"/>
    </xf>
    <xf numFmtId="2" fontId="28" fillId="0" borderId="20" xfId="2" applyNumberFormat="1" applyFont="1" applyBorder="1" applyAlignment="1">
      <alignment horizontal="center" vertical="center"/>
    </xf>
    <xf numFmtId="2" fontId="28" fillId="0" borderId="38" xfId="2" applyNumberFormat="1" applyFont="1" applyBorder="1" applyAlignment="1">
      <alignment horizontal="center" vertical="center"/>
    </xf>
    <xf numFmtId="2" fontId="28" fillId="0" borderId="18" xfId="2" applyNumberFormat="1" applyFont="1" applyBorder="1" applyAlignment="1">
      <alignment horizontal="center" vertical="center"/>
    </xf>
    <xf numFmtId="0" fontId="28" fillId="15" borderId="4" xfId="2" applyFont="1" applyFill="1" applyBorder="1" applyAlignment="1">
      <alignment horizontal="center" vertical="center"/>
    </xf>
    <xf numFmtId="0" fontId="28" fillId="15" borderId="5" xfId="2" applyFont="1" applyFill="1" applyBorder="1" applyAlignment="1">
      <alignment horizontal="center" vertical="center"/>
    </xf>
    <xf numFmtId="0" fontId="28" fillId="15" borderId="6" xfId="2" applyFont="1" applyFill="1" applyBorder="1" applyAlignment="1">
      <alignment horizontal="center" vertical="center"/>
    </xf>
    <xf numFmtId="0" fontId="28" fillId="15" borderId="88" xfId="2" applyFont="1" applyFill="1" applyBorder="1" applyAlignment="1">
      <alignment horizontal="center" vertical="center"/>
    </xf>
    <xf numFmtId="0" fontId="28" fillId="15" borderId="81" xfId="2" applyFont="1" applyFill="1" applyBorder="1" applyAlignment="1">
      <alignment horizontal="center" vertical="center"/>
    </xf>
    <xf numFmtId="0" fontId="28" fillId="15" borderId="71" xfId="2" applyFont="1" applyFill="1" applyBorder="1" applyAlignment="1">
      <alignment horizontal="center" vertical="center"/>
    </xf>
    <xf numFmtId="2" fontId="28" fillId="0" borderId="15" xfId="2" applyNumberFormat="1" applyFont="1" applyBorder="1" applyAlignment="1">
      <alignment horizontal="center"/>
    </xf>
    <xf numFmtId="2" fontId="28" fillId="0" borderId="17" xfId="2" applyNumberFormat="1" applyFont="1" applyBorder="1" applyAlignment="1">
      <alignment horizontal="center"/>
    </xf>
    <xf numFmtId="2" fontId="28" fillId="0" borderId="79" xfId="2" applyNumberFormat="1" applyFont="1" applyBorder="1" applyAlignment="1">
      <alignment horizontal="center" vertical="center"/>
    </xf>
    <xf numFmtId="2" fontId="28" fillId="15" borderId="41" xfId="2" applyNumberFormat="1" applyFont="1" applyFill="1" applyBorder="1" applyAlignment="1">
      <alignment horizontal="center" vertical="center" wrapText="1"/>
    </xf>
    <xf numFmtId="2" fontId="28" fillId="15" borderId="52" xfId="2" applyNumberFormat="1" applyFont="1" applyFill="1" applyBorder="1" applyAlignment="1">
      <alignment horizontal="center" vertical="center" wrapText="1"/>
    </xf>
    <xf numFmtId="2" fontId="28" fillId="15" borderId="42" xfId="2" applyNumberFormat="1" applyFont="1" applyFill="1" applyBorder="1" applyAlignment="1">
      <alignment horizontal="center" vertical="center" wrapText="1"/>
    </xf>
    <xf numFmtId="0" fontId="31" fillId="15" borderId="9" xfId="2" applyFont="1" applyFill="1" applyBorder="1" applyAlignment="1">
      <alignment horizontal="center" vertical="center"/>
    </xf>
    <xf numFmtId="0" fontId="31" fillId="15" borderId="10" xfId="2" applyFont="1" applyFill="1" applyBorder="1" applyAlignment="1">
      <alignment horizontal="center" vertical="center"/>
    </xf>
    <xf numFmtId="0" fontId="28" fillId="15" borderId="41" xfId="2" applyFont="1" applyFill="1" applyBorder="1" applyAlignment="1">
      <alignment horizontal="center" vertical="center" wrapText="1"/>
    </xf>
    <xf numFmtId="0" fontId="28" fillId="15" borderId="52" xfId="2" applyFont="1" applyFill="1" applyBorder="1" applyAlignment="1">
      <alignment horizontal="center" vertical="center" wrapText="1"/>
    </xf>
    <xf numFmtId="0" fontId="28" fillId="15" borderId="42" xfId="2" applyFont="1" applyFill="1" applyBorder="1" applyAlignment="1">
      <alignment horizontal="center" vertical="center" wrapText="1"/>
    </xf>
    <xf numFmtId="0" fontId="28" fillId="15" borderId="78" xfId="2" applyFont="1" applyFill="1" applyBorder="1" applyAlignment="1">
      <alignment horizontal="center" vertical="center" wrapText="1"/>
    </xf>
    <xf numFmtId="2" fontId="28" fillId="15" borderId="41" xfId="2" applyNumberFormat="1" applyFont="1" applyFill="1" applyBorder="1" applyAlignment="1">
      <alignment horizontal="center"/>
    </xf>
    <xf numFmtId="2" fontId="28" fillId="15" borderId="52" xfId="2" applyNumberFormat="1" applyFont="1" applyFill="1" applyBorder="1" applyAlignment="1">
      <alignment horizontal="center"/>
    </xf>
    <xf numFmtId="2" fontId="28" fillId="15" borderId="42" xfId="2" applyNumberFormat="1" applyFont="1" applyFill="1" applyBorder="1" applyAlignment="1">
      <alignment horizontal="center"/>
    </xf>
    <xf numFmtId="2" fontId="28" fillId="15" borderId="41" xfId="2" applyNumberFormat="1" applyFont="1" applyFill="1" applyBorder="1" applyAlignment="1">
      <alignment horizontal="center" vertical="center"/>
    </xf>
    <xf numFmtId="2" fontId="28" fillId="15" borderId="52" xfId="2" applyNumberFormat="1" applyFont="1" applyFill="1" applyBorder="1" applyAlignment="1">
      <alignment horizontal="center" vertical="center"/>
    </xf>
    <xf numFmtId="2" fontId="28" fillId="15" borderId="42" xfId="2" applyNumberFormat="1" applyFont="1" applyFill="1" applyBorder="1" applyAlignment="1">
      <alignment horizontal="center" vertical="center"/>
    </xf>
    <xf numFmtId="0" fontId="28" fillId="15" borderId="26" xfId="2" applyFont="1" applyFill="1" applyBorder="1" applyAlignment="1">
      <alignment horizontal="center" vertical="center" wrapText="1"/>
    </xf>
    <xf numFmtId="0" fontId="28" fillId="15" borderId="27" xfId="2" applyFont="1" applyFill="1" applyBorder="1" applyAlignment="1">
      <alignment horizontal="center" vertical="center" wrapText="1"/>
    </xf>
    <xf numFmtId="0" fontId="28" fillId="15" borderId="28" xfId="2" applyFont="1" applyFill="1" applyBorder="1" applyAlignment="1">
      <alignment horizontal="center" vertical="center" wrapText="1"/>
    </xf>
    <xf numFmtId="0" fontId="28" fillId="0" borderId="15" xfId="2" applyFont="1" applyBorder="1" applyAlignment="1">
      <alignment horizontal="center"/>
    </xf>
    <xf numFmtId="0" fontId="28" fillId="0" borderId="16" xfId="2" applyFont="1" applyBorder="1" applyAlignment="1">
      <alignment horizontal="center"/>
    </xf>
    <xf numFmtId="0" fontId="28" fillId="0" borderId="17" xfId="2" applyFont="1" applyBorder="1" applyAlignment="1">
      <alignment horizontal="center"/>
    </xf>
    <xf numFmtId="0" fontId="28" fillId="0" borderId="18" xfId="2" applyFont="1" applyBorder="1" applyAlignment="1">
      <alignment horizontal="center"/>
    </xf>
    <xf numFmtId="0" fontId="28" fillId="0" borderId="19" xfId="2" applyFont="1" applyBorder="1" applyAlignment="1">
      <alignment horizontal="center"/>
    </xf>
    <xf numFmtId="0" fontId="28" fillId="0" borderId="20" xfId="2" applyFont="1" applyBorder="1" applyAlignment="1">
      <alignment horizontal="center"/>
    </xf>
    <xf numFmtId="2" fontId="28" fillId="0" borderId="82" xfId="2" applyNumberFormat="1" applyFont="1" applyBorder="1" applyAlignment="1">
      <alignment horizontal="center" vertical="center"/>
    </xf>
    <xf numFmtId="2" fontId="28" fillId="0" borderId="86" xfId="2" applyNumberFormat="1" applyFont="1" applyBorder="1" applyAlignment="1">
      <alignment horizontal="center" vertical="center"/>
    </xf>
    <xf numFmtId="0" fontId="28" fillId="0" borderId="4" xfId="2" applyFont="1" applyBorder="1" applyAlignment="1">
      <alignment horizontal="center"/>
    </xf>
    <xf numFmtId="0" fontId="28" fillId="0" borderId="5" xfId="2" applyFont="1" applyBorder="1" applyAlignment="1">
      <alignment horizontal="center"/>
    </xf>
    <xf numFmtId="0" fontId="28" fillId="0" borderId="6" xfId="2" applyFont="1" applyBorder="1" applyAlignment="1">
      <alignment horizontal="center"/>
    </xf>
    <xf numFmtId="0" fontId="28" fillId="0" borderId="66" xfId="2" applyFont="1" applyBorder="1" applyAlignment="1">
      <alignment horizontal="center"/>
    </xf>
    <xf numFmtId="0" fontId="28" fillId="0" borderId="2" xfId="2" applyFont="1" applyAlignment="1">
      <alignment horizontal="center"/>
    </xf>
    <xf numFmtId="0" fontId="28" fillId="0" borderId="7" xfId="2" applyFont="1" applyBorder="1" applyAlignment="1">
      <alignment horizontal="center"/>
    </xf>
    <xf numFmtId="0" fontId="28" fillId="0" borderId="8" xfId="2" applyFont="1" applyBorder="1" applyAlignment="1">
      <alignment horizontal="center"/>
    </xf>
    <xf numFmtId="0" fontId="28" fillId="0" borderId="9" xfId="2" applyFont="1" applyBorder="1" applyAlignment="1">
      <alignment horizontal="center"/>
    </xf>
    <xf numFmtId="0" fontId="28" fillId="0" borderId="10" xfId="2" applyFont="1" applyBorder="1" applyAlignment="1">
      <alignment horizontal="center"/>
    </xf>
    <xf numFmtId="0" fontId="28" fillId="15" borderId="5" xfId="2" applyFont="1" applyFill="1" applyBorder="1" applyAlignment="1">
      <alignment horizontal="center" vertical="center" wrapText="1"/>
    </xf>
    <xf numFmtId="2" fontId="28" fillId="15" borderId="26" xfId="2" applyNumberFormat="1" applyFont="1" applyFill="1" applyBorder="1" applyAlignment="1">
      <alignment horizontal="center" vertical="center" wrapText="1"/>
    </xf>
    <xf numFmtId="2" fontId="28" fillId="15" borderId="27" xfId="2" applyNumberFormat="1" applyFont="1" applyFill="1" applyBorder="1" applyAlignment="1">
      <alignment horizontal="center" vertical="center" wrapText="1"/>
    </xf>
    <xf numFmtId="2" fontId="28" fillId="15" borderId="28" xfId="2" applyNumberFormat="1" applyFont="1" applyFill="1" applyBorder="1" applyAlignment="1">
      <alignment horizontal="center" vertical="center" wrapText="1"/>
    </xf>
    <xf numFmtId="0" fontId="31" fillId="0" borderId="26" xfId="2" applyFont="1" applyBorder="1" applyAlignment="1">
      <alignment horizontal="center"/>
    </xf>
    <xf numFmtId="0" fontId="31" fillId="0" borderId="27" xfId="2" applyFont="1" applyBorder="1" applyAlignment="1">
      <alignment horizontal="center"/>
    </xf>
    <xf numFmtId="0" fontId="31" fillId="0" borderId="28" xfId="2" applyFont="1" applyBorder="1" applyAlignment="1">
      <alignment horizontal="center"/>
    </xf>
    <xf numFmtId="2" fontId="28" fillId="0" borderId="80" xfId="2" applyNumberFormat="1" applyFont="1" applyBorder="1" applyAlignment="1">
      <alignment horizontal="center" vertical="center"/>
    </xf>
    <xf numFmtId="2" fontId="28" fillId="0" borderId="89" xfId="2" applyNumberFormat="1" applyFont="1" applyBorder="1" applyAlignment="1">
      <alignment horizontal="center" vertical="center"/>
    </xf>
    <xf numFmtId="2" fontId="28" fillId="0" borderId="83" xfId="2" applyNumberFormat="1" applyFont="1" applyBorder="1" applyAlignment="1">
      <alignment horizontal="center" vertical="center"/>
    </xf>
    <xf numFmtId="2" fontId="28" fillId="0" borderId="77" xfId="2" applyNumberFormat="1" applyFont="1" applyBorder="1" applyAlignment="1">
      <alignment horizontal="center" vertical="center"/>
    </xf>
    <xf numFmtId="2" fontId="28" fillId="0" borderId="71" xfId="2" applyNumberFormat="1" applyFont="1" applyBorder="1" applyAlignment="1">
      <alignment horizontal="center" vertical="center"/>
    </xf>
    <xf numFmtId="2" fontId="28" fillId="0" borderId="85" xfId="2" applyNumberFormat="1" applyFont="1" applyBorder="1" applyAlignment="1">
      <alignment horizontal="center" vertical="center"/>
    </xf>
    <xf numFmtId="0" fontId="28" fillId="0" borderId="15" xfId="2" applyFont="1" applyBorder="1" applyAlignment="1">
      <alignment horizontal="center" vertical="center"/>
    </xf>
    <xf numFmtId="0" fontId="28" fillId="0" borderId="16" xfId="2" applyFont="1" applyBorder="1" applyAlignment="1">
      <alignment horizontal="center" vertical="center"/>
    </xf>
    <xf numFmtId="0" fontId="28" fillId="0" borderId="17" xfId="2" applyFont="1" applyBorder="1" applyAlignment="1">
      <alignment horizontal="center" vertical="center"/>
    </xf>
    <xf numFmtId="0" fontId="28" fillId="0" borderId="18" xfId="2" applyFont="1" applyBorder="1" applyAlignment="1">
      <alignment horizontal="center" vertical="center"/>
    </xf>
    <xf numFmtId="0" fontId="28" fillId="0" borderId="19" xfId="2" applyFont="1" applyBorder="1" applyAlignment="1">
      <alignment horizontal="center" vertical="center"/>
    </xf>
    <xf numFmtId="0" fontId="28" fillId="0" borderId="20" xfId="2" applyFont="1" applyBorder="1" applyAlignment="1">
      <alignment horizontal="center" vertical="center"/>
    </xf>
    <xf numFmtId="0" fontId="28" fillId="0" borderId="36" xfId="2" applyFont="1" applyBorder="1" applyAlignment="1">
      <alignment horizontal="center" vertical="center"/>
    </xf>
    <xf numFmtId="0" fontId="28" fillId="0" borderId="26" xfId="2" applyFont="1" applyBorder="1" applyAlignment="1">
      <alignment horizontal="center"/>
    </xf>
    <xf numFmtId="0" fontId="28" fillId="0" borderId="27" xfId="2" applyFont="1" applyBorder="1" applyAlignment="1">
      <alignment horizontal="center"/>
    </xf>
    <xf numFmtId="0" fontId="28" fillId="0" borderId="28" xfId="2" applyFont="1" applyBorder="1" applyAlignment="1">
      <alignment horizontal="center"/>
    </xf>
    <xf numFmtId="0" fontId="30" fillId="15" borderId="15" xfId="2" applyFont="1" applyFill="1" applyBorder="1" applyAlignment="1">
      <alignment horizontal="center" vertical="center"/>
    </xf>
    <xf numFmtId="0" fontId="30" fillId="15" borderId="16" xfId="2" applyFont="1" applyFill="1" applyBorder="1" applyAlignment="1">
      <alignment horizontal="center" vertical="center"/>
    </xf>
    <xf numFmtId="0" fontId="30" fillId="15" borderId="17" xfId="2" applyFont="1" applyFill="1" applyBorder="1" applyAlignment="1">
      <alignment horizontal="center" vertical="center"/>
    </xf>
    <xf numFmtId="0" fontId="30" fillId="15" borderId="38" xfId="2" applyFont="1" applyFill="1" applyBorder="1" applyAlignment="1">
      <alignment horizontal="center" vertical="center"/>
    </xf>
    <xf numFmtId="0" fontId="30" fillId="15" borderId="36" xfId="2" applyFont="1" applyFill="1" applyBorder="1" applyAlignment="1">
      <alignment horizontal="center" vertical="center"/>
    </xf>
    <xf numFmtId="0" fontId="30" fillId="15" borderId="39" xfId="2" applyFont="1" applyFill="1" applyBorder="1" applyAlignment="1">
      <alignment horizontal="center" vertical="center"/>
    </xf>
    <xf numFmtId="0" fontId="30" fillId="15" borderId="18" xfId="2" applyFont="1" applyFill="1" applyBorder="1" applyAlignment="1">
      <alignment horizontal="center" vertical="center"/>
    </xf>
    <xf numFmtId="0" fontId="30" fillId="15" borderId="19" xfId="2" applyFont="1" applyFill="1" applyBorder="1" applyAlignment="1">
      <alignment horizontal="center" vertical="center"/>
    </xf>
    <xf numFmtId="0" fontId="30" fillId="15" borderId="20" xfId="2" applyFont="1" applyFill="1" applyBorder="1" applyAlignment="1">
      <alignment horizontal="center" vertical="center"/>
    </xf>
    <xf numFmtId="0" fontId="28" fillId="0" borderId="76" xfId="2" applyFont="1" applyBorder="1" applyAlignment="1">
      <alignment horizontal="center"/>
    </xf>
    <xf numFmtId="0" fontId="28" fillId="0" borderId="81" xfId="2" applyFont="1" applyBorder="1" applyAlignment="1">
      <alignment horizontal="center"/>
    </xf>
    <xf numFmtId="0" fontId="28" fillId="0" borderId="84" xfId="2" applyFont="1" applyBorder="1" applyAlignment="1">
      <alignment horizontal="center"/>
    </xf>
    <xf numFmtId="0" fontId="28" fillId="0" borderId="4" xfId="2" applyFont="1" applyBorder="1" applyAlignment="1">
      <alignment horizontal="center" vertical="center"/>
    </xf>
    <xf numFmtId="0" fontId="28" fillId="0" borderId="5" xfId="2" applyFont="1" applyBorder="1" applyAlignment="1">
      <alignment horizontal="center" vertical="center"/>
    </xf>
    <xf numFmtId="0" fontId="28" fillId="0" borderId="6" xfId="2" applyFont="1" applyBorder="1" applyAlignment="1">
      <alignment horizontal="center"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0" xfId="2" applyFont="1" applyBorder="1" applyAlignment="1">
      <alignment horizontal="center" vertical="center"/>
    </xf>
    <xf numFmtId="0" fontId="28" fillId="0" borderId="66" xfId="2" applyFont="1" applyBorder="1" applyAlignment="1">
      <alignment horizontal="center" vertical="center"/>
    </xf>
    <xf numFmtId="0" fontId="28" fillId="0" borderId="2" xfId="2" applyFont="1" applyAlignment="1">
      <alignment horizontal="center" vertical="center"/>
    </xf>
    <xf numFmtId="0" fontId="28" fillId="0" borderId="7" xfId="2" applyFont="1" applyBorder="1" applyAlignment="1">
      <alignment horizontal="center" vertical="center"/>
    </xf>
    <xf numFmtId="0" fontId="31" fillId="15" borderId="4" xfId="2" applyFont="1" applyFill="1" applyBorder="1" applyAlignment="1">
      <alignment horizontal="center" vertical="center"/>
    </xf>
    <xf numFmtId="0" fontId="31" fillId="15" borderId="5" xfId="2" applyFont="1" applyFill="1" applyBorder="1" applyAlignment="1">
      <alignment horizontal="center" vertical="center"/>
    </xf>
    <xf numFmtId="0" fontId="31" fillId="15" borderId="6" xfId="2" applyFont="1" applyFill="1" applyBorder="1" applyAlignment="1">
      <alignment horizontal="center" vertical="center"/>
    </xf>
    <xf numFmtId="0" fontId="31" fillId="15" borderId="66" xfId="2" applyFont="1" applyFill="1" applyBorder="1" applyAlignment="1">
      <alignment horizontal="center" vertical="center"/>
    </xf>
    <xf numFmtId="0" fontId="31" fillId="15" borderId="2" xfId="2" applyFont="1" applyFill="1" applyAlignment="1">
      <alignment horizontal="center" vertical="center"/>
    </xf>
    <xf numFmtId="0" fontId="31" fillId="15" borderId="7" xfId="2" applyFont="1" applyFill="1" applyBorder="1" applyAlignment="1">
      <alignment horizontal="center" vertical="center"/>
    </xf>
    <xf numFmtId="0" fontId="30" fillId="15" borderId="53" xfId="2" applyFont="1" applyFill="1" applyBorder="1" applyAlignment="1">
      <alignment horizontal="center" vertical="center"/>
    </xf>
    <xf numFmtId="0" fontId="30" fillId="15" borderId="54" xfId="2" applyFont="1" applyFill="1" applyBorder="1" applyAlignment="1">
      <alignment horizontal="center" vertical="center"/>
    </xf>
    <xf numFmtId="0" fontId="30" fillId="15" borderId="55" xfId="2" applyFont="1" applyFill="1" applyBorder="1" applyAlignment="1">
      <alignment horizontal="center" vertical="center"/>
    </xf>
    <xf numFmtId="0" fontId="28" fillId="0" borderId="36" xfId="2" applyFont="1" applyBorder="1" applyAlignment="1">
      <alignment horizontal="left" vertical="center"/>
    </xf>
    <xf numFmtId="0" fontId="28" fillId="0" borderId="78" xfId="2" applyFont="1" applyBorder="1" applyAlignment="1">
      <alignment horizontal="center" vertical="center"/>
    </xf>
    <xf numFmtId="0" fontId="28" fillId="0" borderId="27" xfId="2" applyFont="1" applyBorder="1" applyAlignment="1">
      <alignment horizontal="center" vertical="center"/>
    </xf>
    <xf numFmtId="0" fontId="28" fillId="0" borderId="28" xfId="2" applyFont="1" applyBorder="1" applyAlignment="1">
      <alignment horizontal="center" vertical="center"/>
    </xf>
    <xf numFmtId="0" fontId="22" fillId="11" borderId="54" xfId="6" applyFont="1" applyBorder="1" applyAlignment="1">
      <alignment horizontal="center" vertical="center"/>
    </xf>
    <xf numFmtId="0" fontId="22" fillId="11" borderId="50" xfId="6" applyFont="1" applyBorder="1" applyAlignment="1">
      <alignment horizontal="center" vertical="center"/>
    </xf>
    <xf numFmtId="0" fontId="22" fillId="11" borderId="36" xfId="6" applyFont="1" applyBorder="1" applyAlignment="1">
      <alignment horizontal="center" vertical="center" wrapText="1"/>
    </xf>
    <xf numFmtId="0" fontId="22" fillId="11" borderId="96" xfId="6" applyFont="1" applyBorder="1" applyAlignment="1">
      <alignment horizontal="center" vertical="center" wrapText="1"/>
    </xf>
    <xf numFmtId="0" fontId="22" fillId="11" borderId="97" xfId="6" applyFont="1" applyBorder="1" applyAlignment="1">
      <alignment horizontal="center" vertical="center" wrapText="1"/>
    </xf>
    <xf numFmtId="0" fontId="22" fillId="11" borderId="98" xfId="6" applyFont="1" applyBorder="1" applyAlignment="1">
      <alignment horizontal="center" vertical="center" wrapText="1"/>
    </xf>
    <xf numFmtId="0" fontId="22" fillId="11" borderId="99" xfId="6" applyFont="1" applyBorder="1" applyAlignment="1">
      <alignment horizontal="center" wrapText="1"/>
    </xf>
    <xf numFmtId="0" fontId="22" fillId="11" borderId="100" xfId="6" applyFont="1" applyBorder="1" applyAlignment="1">
      <alignment horizontal="center" wrapText="1"/>
    </xf>
    <xf numFmtId="0" fontId="21" fillId="20" borderId="102" xfId="0" applyFont="1" applyFill="1" applyBorder="1" applyAlignment="1">
      <alignment horizontal="center"/>
    </xf>
    <xf numFmtId="0" fontId="22" fillId="20" borderId="94" xfId="0" applyFont="1" applyFill="1" applyBorder="1" applyAlignment="1">
      <alignment horizontal="center"/>
    </xf>
    <xf numFmtId="0" fontId="22" fillId="20" borderId="82" xfId="0" applyFont="1" applyFill="1" applyBorder="1" applyAlignment="1">
      <alignment horizontal="center"/>
    </xf>
    <xf numFmtId="0" fontId="41" fillId="20" borderId="0" xfId="0" applyFont="1" applyFill="1" applyAlignment="1">
      <alignment horizontal="center"/>
    </xf>
    <xf numFmtId="0" fontId="0" fillId="20" borderId="0" xfId="0" applyFill="1" applyAlignment="1">
      <alignment horizontal="center"/>
    </xf>
    <xf numFmtId="0" fontId="20" fillId="0" borderId="0" xfId="0" applyFont="1" applyAlignment="1">
      <alignment horizontal="center" wrapText="1"/>
    </xf>
    <xf numFmtId="0" fontId="0" fillId="0" borderId="0" xfId="0" applyAlignment="1">
      <alignment horizontal="center" wrapText="1"/>
    </xf>
    <xf numFmtId="0" fontId="0" fillId="0" borderId="0" xfId="0" applyAlignment="1">
      <alignment vertical="center"/>
    </xf>
    <xf numFmtId="0" fontId="20" fillId="0" borderId="0" xfId="0" applyFont="1" applyAlignment="1">
      <alignment horizontal="center" vertical="center" wrapText="1"/>
    </xf>
    <xf numFmtId="0" fontId="0" fillId="0" borderId="0" xfId="0" applyAlignment="1">
      <alignment horizontal="center" vertical="center" wrapText="1"/>
    </xf>
    <xf numFmtId="0" fontId="20" fillId="20" borderId="0" xfId="0" applyFont="1" applyFill="1" applyAlignment="1">
      <alignment horizontal="center"/>
    </xf>
    <xf numFmtId="0" fontId="39" fillId="21" borderId="91" xfId="0" applyFont="1" applyFill="1" applyBorder="1" applyAlignment="1">
      <alignment horizontal="center"/>
    </xf>
    <xf numFmtId="0" fontId="39" fillId="21" borderId="102" xfId="0" applyFont="1" applyFill="1" applyBorder="1" applyAlignment="1">
      <alignment horizontal="center"/>
    </xf>
    <xf numFmtId="0" fontId="0" fillId="0" borderId="0" xfId="0" applyAlignment="1">
      <alignment horizontal="left" wrapText="1"/>
    </xf>
    <xf numFmtId="0" fontId="22" fillId="10" borderId="36" xfId="5" applyFont="1" applyBorder="1" applyAlignment="1">
      <alignment horizontal="center" vertical="center"/>
    </xf>
    <xf numFmtId="0" fontId="21" fillId="20" borderId="103" xfId="0" applyFont="1" applyFill="1" applyBorder="1" applyAlignment="1">
      <alignment horizontal="center"/>
    </xf>
    <xf numFmtId="0" fontId="22" fillId="10" borderId="96" xfId="5" applyFont="1" applyBorder="1" applyAlignment="1">
      <alignment horizontal="center" wrapText="1"/>
    </xf>
    <xf numFmtId="0" fontId="22" fillId="10" borderId="97" xfId="5" applyFont="1" applyBorder="1" applyAlignment="1">
      <alignment horizontal="center" wrapText="1"/>
    </xf>
    <xf numFmtId="0" fontId="22" fillId="10" borderId="73" xfId="5" applyFont="1" applyBorder="1" applyAlignment="1">
      <alignment horizontal="center" wrapText="1"/>
    </xf>
    <xf numFmtId="0" fontId="22" fillId="10" borderId="89" xfId="5" applyFont="1" applyBorder="1" applyAlignment="1">
      <alignment horizontal="center" wrapText="1"/>
    </xf>
    <xf numFmtId="0" fontId="22" fillId="10" borderId="2" xfId="5" applyFont="1" applyBorder="1" applyAlignment="1">
      <alignment horizontal="center" wrapText="1"/>
    </xf>
    <xf numFmtId="0" fontId="22" fillId="10" borderId="88" xfId="5" applyFont="1" applyBorder="1" applyAlignment="1">
      <alignment horizontal="center" wrapText="1"/>
    </xf>
    <xf numFmtId="0" fontId="22" fillId="10" borderId="91" xfId="5" applyFont="1" applyBorder="1" applyAlignment="1">
      <alignment horizontal="center" wrapText="1"/>
    </xf>
    <xf numFmtId="0" fontId="22" fillId="10" borderId="102" xfId="5" applyFont="1" applyBorder="1" applyAlignment="1">
      <alignment horizontal="center" wrapText="1"/>
    </xf>
    <xf numFmtId="0" fontId="22" fillId="10" borderId="90" xfId="5" applyFont="1" applyBorder="1" applyAlignment="1">
      <alignment horizont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2" fontId="4" fillId="9" borderId="66" xfId="0" applyNumberFormat="1" applyFont="1" applyFill="1" applyBorder="1" applyAlignment="1">
      <alignment horizontal="center" vertical="center" wrapText="1"/>
    </xf>
    <xf numFmtId="2" fontId="4" fillId="9" borderId="2" xfId="0" applyNumberFormat="1" applyFont="1" applyFill="1" applyBorder="1" applyAlignment="1">
      <alignment horizontal="center" vertical="center" wrapText="1"/>
    </xf>
    <xf numFmtId="2" fontId="4" fillId="9" borderId="7" xfId="0" applyNumberFormat="1" applyFont="1" applyFill="1" applyBorder="1" applyAlignment="1">
      <alignment horizontal="center" vertical="center" wrapText="1"/>
    </xf>
    <xf numFmtId="0" fontId="6" fillId="14" borderId="4" xfId="0" applyFont="1" applyFill="1" applyBorder="1" applyAlignment="1">
      <alignment horizontal="center" vertical="center"/>
    </xf>
    <xf numFmtId="0" fontId="23" fillId="6" borderId="5" xfId="0" applyFont="1" applyFill="1" applyBorder="1" applyAlignment="1"/>
    <xf numFmtId="0" fontId="23" fillId="6" borderId="6" xfId="0" applyFont="1" applyFill="1" applyBorder="1" applyAlignment="1"/>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66"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7" fillId="0" borderId="6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6" fillId="14" borderId="26" xfId="0" applyFont="1" applyFill="1" applyBorder="1" applyAlignment="1">
      <alignment horizontal="center" vertical="center"/>
    </xf>
    <xf numFmtId="0" fontId="6" fillId="14" borderId="27" xfId="0" applyFont="1" applyFill="1" applyBorder="1" applyAlignment="1">
      <alignment horizontal="center" vertical="center"/>
    </xf>
    <xf numFmtId="0" fontId="6" fillId="14" borderId="28" xfId="0" applyFont="1" applyFill="1" applyBorder="1" applyAlignment="1">
      <alignment horizontal="center" vertical="center"/>
    </xf>
    <xf numFmtId="0" fontId="6" fillId="14" borderId="66" xfId="0" applyFont="1" applyFill="1" applyBorder="1" applyAlignment="1">
      <alignment horizontal="center" vertical="center"/>
    </xf>
    <xf numFmtId="0" fontId="6" fillId="14" borderId="2" xfId="0" applyFont="1" applyFill="1" applyBorder="1" applyAlignment="1">
      <alignment horizontal="center" vertical="center"/>
    </xf>
    <xf numFmtId="0" fontId="6" fillId="14" borderId="7" xfId="0" applyFont="1" applyFill="1" applyBorder="1" applyAlignment="1">
      <alignment horizontal="center" vertical="center"/>
    </xf>
    <xf numFmtId="0" fontId="8" fillId="12" borderId="26" xfId="0" applyFont="1" applyFill="1" applyBorder="1" applyAlignment="1">
      <alignment horizontal="center" vertical="center"/>
    </xf>
    <xf numFmtId="0" fontId="7" fillId="13" borderId="27" xfId="0" applyFont="1" applyFill="1" applyBorder="1" applyAlignment="1"/>
    <xf numFmtId="0" fontId="6" fillId="14" borderId="58" xfId="0" applyFont="1" applyFill="1" applyBorder="1" applyAlignment="1">
      <alignment horizontal="center" vertical="center"/>
    </xf>
    <xf numFmtId="0" fontId="23" fillId="6" borderId="59" xfId="0" applyFont="1" applyFill="1" applyBorder="1" applyAlignment="1"/>
    <xf numFmtId="0" fontId="6" fillId="14" borderId="60" xfId="0" applyFont="1" applyFill="1" applyBorder="1" applyAlignment="1">
      <alignment horizontal="center" vertical="center"/>
    </xf>
    <xf numFmtId="0" fontId="23" fillId="6" borderId="61" xfId="0" applyFont="1" applyFill="1" applyBorder="1" applyAlignment="1"/>
    <xf numFmtId="0" fontId="4" fillId="0" borderId="62" xfId="0" applyFont="1" applyBorder="1" applyAlignment="1">
      <alignment horizontal="left" vertical="center" wrapText="1"/>
    </xf>
    <xf numFmtId="0" fontId="7" fillId="0" borderId="5" xfId="0" applyFont="1" applyBorder="1" applyAlignment="1">
      <alignment horizontal="left"/>
    </xf>
    <xf numFmtId="0" fontId="7" fillId="0" borderId="6" xfId="0" applyFont="1" applyBorder="1" applyAlignment="1">
      <alignment horizontal="left"/>
    </xf>
    <xf numFmtId="0" fontId="7" fillId="0" borderId="8" xfId="0" applyFont="1" applyBorder="1" applyAlignment="1">
      <alignment horizontal="left"/>
    </xf>
    <xf numFmtId="0" fontId="4" fillId="0" borderId="9" xfId="0" applyFont="1" applyBorder="1" applyAlignment="1">
      <alignment horizontal="left"/>
    </xf>
    <xf numFmtId="0" fontId="4" fillId="0" borderId="10" xfId="0" applyFont="1" applyBorder="1" applyAlignment="1">
      <alignment horizontal="left"/>
    </xf>
    <xf numFmtId="0" fontId="6" fillId="14" borderId="8" xfId="0" applyFont="1" applyFill="1" applyBorder="1" applyAlignment="1">
      <alignment horizontal="center" vertical="center"/>
    </xf>
    <xf numFmtId="0" fontId="6" fillId="14" borderId="9" xfId="0" applyFont="1" applyFill="1" applyBorder="1" applyAlignment="1">
      <alignment horizontal="center" vertical="center"/>
    </xf>
    <xf numFmtId="0" fontId="4" fillId="0" borderId="60" xfId="0" applyFont="1" applyBorder="1" applyAlignment="1">
      <alignment horizontal="left" vertical="center" wrapText="1"/>
    </xf>
    <xf numFmtId="0" fontId="7" fillId="0" borderId="61" xfId="0" applyFont="1" applyBorder="1" applyAlignment="1">
      <alignment horizontal="left"/>
    </xf>
    <xf numFmtId="0" fontId="7" fillId="0" borderId="62" xfId="0" applyFont="1" applyBorder="1" applyAlignment="1">
      <alignment horizontal="left"/>
    </xf>
    <xf numFmtId="0" fontId="4" fillId="0" borderId="0" xfId="0" applyFont="1" applyAlignment="1">
      <alignment horizontal="left"/>
    </xf>
    <xf numFmtId="0" fontId="15"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5" fillId="0" borderId="94" xfId="0" applyFont="1" applyBorder="1" applyAlignment="1">
      <alignment horizontal="center" vertical="center"/>
    </xf>
    <xf numFmtId="0" fontId="5" fillId="0" borderId="103" xfId="0" applyFont="1" applyBorder="1" applyAlignment="1">
      <alignment horizontal="center" vertical="center"/>
    </xf>
    <xf numFmtId="0" fontId="5" fillId="0" borderId="82" xfId="0" applyFont="1" applyBorder="1" applyAlignment="1">
      <alignment horizontal="center" vertical="center"/>
    </xf>
    <xf numFmtId="0" fontId="4" fillId="0" borderId="17"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13" xfId="0" applyFont="1" applyBorder="1" applyAlignment="1">
      <alignment horizontal="center" vertical="center" wrapText="1"/>
    </xf>
    <xf numFmtId="165" fontId="4" fillId="0" borderId="79" xfId="4" applyNumberFormat="1" applyFont="1" applyBorder="1" applyAlignment="1">
      <alignment horizontal="center" vertical="center" wrapText="1"/>
    </xf>
    <xf numFmtId="165" fontId="4" fillId="0" borderId="82" xfId="4" applyNumberFormat="1" applyFont="1" applyBorder="1" applyAlignment="1">
      <alignment horizontal="center" vertical="center" wrapText="1"/>
    </xf>
    <xf numFmtId="165" fontId="4" fillId="0" borderId="86" xfId="4" applyNumberFormat="1" applyFont="1" applyBorder="1" applyAlignment="1">
      <alignment horizontal="center" vertical="center" wrapText="1"/>
    </xf>
    <xf numFmtId="0" fontId="4" fillId="0" borderId="109" xfId="0" applyFont="1" applyBorder="1" applyAlignment="1">
      <alignment horizontal="center" vertical="center" wrapText="1"/>
    </xf>
    <xf numFmtId="165" fontId="4" fillId="0" borderId="93" xfId="4" applyNumberFormat="1" applyFont="1" applyBorder="1" applyAlignment="1">
      <alignment horizontal="center" vertical="center" wrapText="1"/>
    </xf>
    <xf numFmtId="165" fontId="4" fillId="0" borderId="94" xfId="4" applyNumberFormat="1" applyFont="1" applyBorder="1" applyAlignment="1">
      <alignment horizontal="center" vertical="center" wrapText="1"/>
    </xf>
    <xf numFmtId="165" fontId="4" fillId="0" borderId="92" xfId="4" applyNumberFormat="1" applyFont="1" applyBorder="1" applyAlignment="1">
      <alignment horizontal="center" vertical="center" wrapText="1"/>
    </xf>
    <xf numFmtId="165" fontId="4" fillId="0" borderId="108" xfId="4" applyNumberFormat="1" applyFont="1" applyBorder="1" applyAlignment="1">
      <alignment horizontal="center" vertical="center" wrapText="1"/>
    </xf>
    <xf numFmtId="165" fontId="4" fillId="0" borderId="111" xfId="4" applyNumberFormat="1" applyFont="1" applyBorder="1" applyAlignment="1">
      <alignment horizontal="center" vertical="center" wrapText="1"/>
    </xf>
    <xf numFmtId="165" fontId="4" fillId="0" borderId="112" xfId="4" applyNumberFormat="1" applyFont="1" applyBorder="1" applyAlignment="1">
      <alignment horizontal="center" vertical="center" wrapText="1"/>
    </xf>
    <xf numFmtId="0" fontId="4" fillId="9" borderId="109" xfId="0" applyFont="1" applyFill="1" applyBorder="1" applyAlignment="1">
      <alignment horizontal="center" vertical="center" wrapText="1"/>
    </xf>
    <xf numFmtId="0" fontId="4" fillId="9" borderId="110" xfId="0" applyFont="1" applyFill="1" applyBorder="1" applyAlignment="1">
      <alignment horizontal="center" vertical="center" wrapText="1"/>
    </xf>
    <xf numFmtId="0" fontId="4" fillId="9" borderId="113" xfId="0" applyFont="1" applyFill="1" applyBorder="1" applyAlignment="1">
      <alignment horizontal="center" vertical="center" wrapText="1"/>
    </xf>
    <xf numFmtId="0" fontId="4" fillId="0" borderId="64" xfId="0" applyFont="1" applyBorder="1" applyAlignment="1">
      <alignment horizontal="left" vertical="center" wrapText="1"/>
    </xf>
    <xf numFmtId="0" fontId="4" fillId="0" borderId="65" xfId="0" applyFont="1" applyBorder="1" applyAlignment="1">
      <alignment horizontal="left" vertical="center" wrapText="1"/>
    </xf>
    <xf numFmtId="0" fontId="5" fillId="0" borderId="0" xfId="0" applyFont="1" applyAlignment="1">
      <alignment horizontal="center"/>
    </xf>
    <xf numFmtId="0" fontId="11" fillId="22" borderId="5" xfId="0" applyFont="1" applyFill="1" applyBorder="1" applyAlignment="1">
      <alignment horizontal="center" vertical="center"/>
    </xf>
    <xf numFmtId="2" fontId="7" fillId="0" borderId="54" xfId="0" applyNumberFormat="1" applyFont="1" applyBorder="1" applyAlignment="1">
      <alignment horizontal="center" vertical="center" wrapText="1"/>
    </xf>
    <xf numFmtId="2" fontId="7" fillId="0" borderId="84" xfId="0" applyNumberFormat="1" applyFont="1" applyBorder="1" applyAlignment="1">
      <alignment horizontal="center" vertical="center" wrapText="1"/>
    </xf>
    <xf numFmtId="0" fontId="7" fillId="0" borderId="55" xfId="0" applyFont="1" applyBorder="1" applyAlignment="1">
      <alignment horizontal="center" vertical="center" wrapText="1"/>
    </xf>
    <xf numFmtId="0" fontId="7" fillId="0" borderId="85" xfId="0" applyFont="1" applyBorder="1" applyAlignment="1">
      <alignment horizontal="center" vertical="center" wrapText="1"/>
    </xf>
    <xf numFmtId="0" fontId="6" fillId="14" borderId="59" xfId="0" applyFont="1" applyFill="1" applyBorder="1" applyAlignment="1">
      <alignment horizontal="center" vertical="center"/>
    </xf>
    <xf numFmtId="0" fontId="6" fillId="14" borderId="63" xfId="0" applyFont="1" applyFill="1" applyBorder="1" applyAlignment="1">
      <alignment horizontal="center" vertical="center"/>
    </xf>
    <xf numFmtId="0" fontId="5" fillId="0" borderId="53" xfId="0" applyFont="1" applyBorder="1" applyAlignment="1">
      <alignment horizontal="center" vertical="center"/>
    </xf>
    <xf numFmtId="0" fontId="5" fillId="0" borderId="49" xfId="0" applyFont="1" applyBorder="1" applyAlignment="1">
      <alignment horizontal="center" vertical="center"/>
    </xf>
    <xf numFmtId="0" fontId="4" fillId="0" borderId="55" xfId="0" applyFont="1" applyBorder="1" applyAlignment="1">
      <alignment horizontal="left" vertical="center"/>
    </xf>
    <xf numFmtId="0" fontId="4" fillId="0" borderId="71" xfId="0" applyFont="1" applyBorder="1" applyAlignment="1">
      <alignment horizontal="left" vertical="center"/>
    </xf>
    <xf numFmtId="0" fontId="4" fillId="0" borderId="51" xfId="0" applyFont="1" applyBorder="1" applyAlignment="1">
      <alignment horizontal="left" vertical="center"/>
    </xf>
    <xf numFmtId="43" fontId="4" fillId="9" borderId="68" xfId="0" applyNumberFormat="1" applyFont="1" applyFill="1" applyBorder="1" applyAlignment="1">
      <alignment vertical="center" wrapText="1"/>
    </xf>
    <xf numFmtId="0" fontId="4" fillId="9" borderId="69" xfId="0" applyFont="1" applyFill="1" applyBorder="1" applyAlignment="1">
      <alignment vertical="center" wrapText="1"/>
    </xf>
    <xf numFmtId="0" fontId="5" fillId="0" borderId="72" xfId="0" applyFont="1" applyBorder="1" applyAlignment="1">
      <alignment horizontal="center" vertical="center"/>
    </xf>
    <xf numFmtId="0" fontId="5" fillId="0" borderId="73" xfId="0" applyFont="1" applyBorder="1" applyAlignment="1">
      <alignment horizontal="center" vertical="center"/>
    </xf>
    <xf numFmtId="0" fontId="5" fillId="0" borderId="8" xfId="0" applyFont="1" applyBorder="1" applyAlignment="1">
      <alignment horizontal="center" vertical="center"/>
    </xf>
    <xf numFmtId="0" fontId="5" fillId="0" borderId="74" xfId="0" applyFont="1" applyBorder="1" applyAlignment="1">
      <alignment horizontal="center" vertical="center"/>
    </xf>
    <xf numFmtId="0" fontId="6" fillId="14" borderId="5" xfId="0" applyFont="1" applyFill="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70" xfId="0" applyFont="1" applyBorder="1" applyAlignment="1">
      <alignment horizontal="center" vertical="center"/>
    </xf>
    <xf numFmtId="0" fontId="5" fillId="0" borderId="54" xfId="0" applyFont="1" applyBorder="1" applyAlignment="1">
      <alignment horizontal="left" vertical="center"/>
    </xf>
    <xf numFmtId="0" fontId="5" fillId="0" borderId="50" xfId="0" applyFont="1" applyBorder="1" applyAlignment="1">
      <alignment horizontal="left" vertical="center"/>
    </xf>
    <xf numFmtId="0" fontId="5" fillId="0" borderId="107" xfId="0" applyFont="1" applyBorder="1" applyAlignment="1">
      <alignment horizontal="center" vertical="center" wrapText="1"/>
    </xf>
    <xf numFmtId="0" fontId="5" fillId="0" borderId="81" xfId="0" applyFont="1" applyBorder="1" applyAlignment="1">
      <alignment horizontal="center" vertical="center"/>
    </xf>
    <xf numFmtId="0" fontId="5" fillId="0" borderId="50" xfId="0" applyFont="1" applyBorder="1" applyAlignment="1">
      <alignment horizontal="center" vertical="center"/>
    </xf>
    <xf numFmtId="43" fontId="4" fillId="0" borderId="68" xfId="0" applyNumberFormat="1" applyFont="1" applyBorder="1" applyAlignment="1">
      <alignment vertical="center" wrapText="1"/>
    </xf>
    <xf numFmtId="0" fontId="4" fillId="0" borderId="69" xfId="0" applyFont="1" applyBorder="1" applyAlignment="1">
      <alignment vertical="center" wrapText="1"/>
    </xf>
    <xf numFmtId="0" fontId="15" fillId="0" borderId="5" xfId="0" applyFont="1" applyBorder="1" applyAlignment="1">
      <alignment horizontal="left" vertical="center"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0" fontId="6" fillId="14" borderId="105" xfId="0" applyFont="1" applyFill="1" applyBorder="1" applyAlignment="1">
      <alignment horizontal="center" vertical="center"/>
    </xf>
    <xf numFmtId="0" fontId="6" fillId="14" borderId="56" xfId="0" applyFont="1" applyFill="1" applyBorder="1" applyAlignment="1">
      <alignment horizontal="center" vertical="center"/>
    </xf>
    <xf numFmtId="0" fontId="6" fillId="14" borderId="106" xfId="0" applyFont="1" applyFill="1" applyBorder="1" applyAlignment="1">
      <alignment horizontal="center" vertical="center"/>
    </xf>
    <xf numFmtId="0" fontId="6" fillId="14" borderId="38" xfId="0" applyFont="1" applyFill="1" applyBorder="1" applyAlignment="1">
      <alignment horizontal="center" vertical="center"/>
    </xf>
    <xf numFmtId="0" fontId="23" fillId="6" borderId="36" xfId="0" applyFont="1" applyFill="1" applyBorder="1" applyAlignment="1"/>
    <xf numFmtId="0" fontId="23" fillId="6" borderId="39" xfId="0" applyFont="1" applyFill="1" applyBorder="1" applyAlignment="1"/>
    <xf numFmtId="0" fontId="6" fillId="14" borderId="15" xfId="0" applyFont="1" applyFill="1" applyBorder="1" applyAlignment="1">
      <alignment horizontal="center" vertical="center"/>
    </xf>
    <xf numFmtId="0" fontId="6" fillId="14" borderId="16" xfId="0" applyFont="1" applyFill="1" applyBorder="1" applyAlignment="1">
      <alignment horizontal="center" vertical="center"/>
    </xf>
    <xf numFmtId="0" fontId="6" fillId="14" borderId="17" xfId="0" applyFont="1" applyFill="1" applyBorder="1" applyAlignment="1">
      <alignment horizontal="center" vertical="center"/>
    </xf>
    <xf numFmtId="0" fontId="6" fillId="14" borderId="36" xfId="0" applyFont="1" applyFill="1" applyBorder="1" applyAlignment="1">
      <alignment horizontal="center" vertical="center"/>
    </xf>
    <xf numFmtId="0" fontId="6" fillId="14" borderId="39" xfId="0" applyFont="1" applyFill="1" applyBorder="1" applyAlignment="1">
      <alignment horizontal="center" vertical="center"/>
    </xf>
    <xf numFmtId="0" fontId="11" fillId="0" borderId="53" xfId="0" applyFont="1" applyBorder="1" applyAlignment="1">
      <alignment horizontal="left" vertical="center" wrapText="1"/>
    </xf>
    <xf numFmtId="0" fontId="11" fillId="0" borderId="67" xfId="0" applyFont="1" applyBorder="1" applyAlignment="1">
      <alignment horizontal="left" vertical="center" wrapText="1"/>
    </xf>
    <xf numFmtId="164" fontId="7" fillId="0" borderId="28" xfId="0" applyNumberFormat="1" applyFont="1" applyFill="1" applyBorder="1" applyAlignment="1">
      <alignment horizontal="left" vertical="center" wrapText="1"/>
    </xf>
  </cellXfs>
  <cellStyles count="7">
    <cellStyle name="20% - Énfasis1" xfId="5" builtinId="30"/>
    <cellStyle name="20% - Énfasis6" xfId="6" builtinId="50"/>
    <cellStyle name="Estilo 1" xfId="1" xr:uid="{4647844F-63E3-4C33-B80C-9F304EA7393D}"/>
    <cellStyle name="Millares" xfId="4" builtinId="3"/>
    <cellStyle name="Normal" xfId="0" builtinId="0"/>
    <cellStyle name="Normal 2" xfId="2" xr:uid="{3E3825E2-33C4-4C94-9CD7-324D9AB01F3D}"/>
    <cellStyle name="Porcentaje 2" xfId="3" xr:uid="{04052710-B2F3-4D72-A38A-B5AEFAB1A340}"/>
  </cellStyles>
  <dxfs count="0"/>
  <tableStyles count="1" defaultTableStyle="TableStyleMedium2" defaultPivotStyle="PivotStyleLight16">
    <tableStyle name="Invisible" pivot="0" table="0" count="0" xr9:uid="{C224CA91-6B2F-4F50-B35B-1E9DDA4E1FC5}"/>
  </tableStyles>
  <colors>
    <mruColors>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microsoft.com/office/2017/10/relationships/person" Target="persons/person.xml"/><Relationship Id="rId19" Type="http://schemas.openxmlformats.org/officeDocument/2006/relationships/customXml" Target="../customXml/item3.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22859</xdr:rowOff>
    </xdr:from>
    <xdr:to>
      <xdr:col>9</xdr:col>
      <xdr:colOff>247650</xdr:colOff>
      <xdr:row>43</xdr:row>
      <xdr:rowOff>70237</xdr:rowOff>
    </xdr:to>
    <xdr:pic>
      <xdr:nvPicPr>
        <xdr:cNvPr id="2" name="Imagen 1">
          <a:extLst>
            <a:ext uri="{FF2B5EF4-FFF2-40B4-BE49-F238E27FC236}">
              <a16:creationId xmlns:a16="http://schemas.microsoft.com/office/drawing/2014/main" id="{31B15EFC-1B5B-73F5-3E19-52D099E84254}"/>
            </a:ext>
          </a:extLst>
        </xdr:cNvPr>
        <xdr:cNvPicPr>
          <a:picLocks noChangeAspect="1"/>
        </xdr:cNvPicPr>
      </xdr:nvPicPr>
      <xdr:blipFill>
        <a:blip xmlns:r="http://schemas.openxmlformats.org/officeDocument/2006/relationships" r:embed="rId1"/>
        <a:stretch>
          <a:fillRect/>
        </a:stretch>
      </xdr:blipFill>
      <xdr:spPr>
        <a:xfrm>
          <a:off x="0" y="213359"/>
          <a:ext cx="6694170" cy="82693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28</xdr:row>
      <xdr:rowOff>0</xdr:rowOff>
    </xdr:from>
    <xdr:to>
      <xdr:col>6</xdr:col>
      <xdr:colOff>304800</xdr:colOff>
      <xdr:row>29</xdr:row>
      <xdr:rowOff>106680</xdr:rowOff>
    </xdr:to>
    <xdr:sp macro="" textlink="">
      <xdr:nvSpPr>
        <xdr:cNvPr id="4098" name="AutoShape 2">
          <a:extLst>
            <a:ext uri="{FF2B5EF4-FFF2-40B4-BE49-F238E27FC236}">
              <a16:creationId xmlns:a16="http://schemas.microsoft.com/office/drawing/2014/main" id="{7C6535E2-9369-24E9-4C44-7D949509EA0F}"/>
            </a:ext>
          </a:extLst>
        </xdr:cNvPr>
        <xdr:cNvSpPr>
          <a:spLocks noChangeAspect="1" noChangeArrowheads="1"/>
        </xdr:cNvSpPr>
      </xdr:nvSpPr>
      <xdr:spPr bwMode="auto">
        <a:xfrm>
          <a:off x="13152120" y="14843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444500</xdr:colOff>
      <xdr:row>1</xdr:row>
      <xdr:rowOff>111125</xdr:rowOff>
    </xdr:from>
    <xdr:to>
      <xdr:col>4</xdr:col>
      <xdr:colOff>50465</xdr:colOff>
      <xdr:row>188</xdr:row>
      <xdr:rowOff>147350</xdr:rowOff>
    </xdr:to>
    <xdr:pic>
      <xdr:nvPicPr>
        <xdr:cNvPr id="2" name="Imagen 1">
          <a:extLst>
            <a:ext uri="{FF2B5EF4-FFF2-40B4-BE49-F238E27FC236}">
              <a16:creationId xmlns:a16="http://schemas.microsoft.com/office/drawing/2014/main" id="{051F3323-DF07-4FA3-85CB-41CD903B6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316865"/>
          <a:ext cx="3507882" cy="8924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ecnube1-my.sharepoint.com/personal/ga_itcr_ac_cr/Documents/GAmbiental/Carbono%20Neutro%20TEC/01.%20Cartago/02.%20Documentaci&#243;n/03.%20Plan%20de%20gesti&#243;n%20de%20las%20reducciones/Reducciones%20para%20la%20Carbono%20Neutralidad_2022_final.xlsx?91DB0F9E" TargetMode="External"/><Relationship Id="rId1" Type="http://schemas.openxmlformats.org/officeDocument/2006/relationships/externalLinkPath" Target="file:///\\91DB0F9E\Reducciones%20para%20la%20Carbono%20Neutralidad_2022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ción de compromiso"/>
      <sheetName val="Indir Significativas en el plan"/>
      <sheetName val="Plan reducciones 2022"/>
      <sheetName val="Documentación de reducciones"/>
      <sheetName val="Combustible"/>
      <sheetName val="Bicicletas"/>
      <sheetName val="Luminarias"/>
    </sheetNames>
    <sheetDataSet>
      <sheetData sheetId="0"/>
      <sheetData sheetId="1"/>
      <sheetData sheetId="2"/>
      <sheetData sheetId="3"/>
      <sheetData sheetId="4">
        <row r="135">
          <cell r="G135">
            <v>1.7073619999999998</v>
          </cell>
        </row>
      </sheetData>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Alina Rodriguez Rodriguez" id="{8110F56E-37FE-4067-88B1-079AFA7446A2}" userId="S::alirodriguez@itcr.ac.cr::7358320a-3cb7-4e8b-9fbc-a3d6af17c99f"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4" dT="2023-10-31T17:39:00.04" personId="{8110F56E-37FE-4067-88B1-079AFA7446A2}" id="{123A2CA7-2FC6-4F69-AD6B-F7D1CFF1A986}">
    <text>Luminaria tipo cobra. Luminaria para calles o carreteras de 108 W</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5:A994"/>
  <sheetViews>
    <sheetView showGridLines="0" topLeftCell="A24" zoomScaleNormal="100" workbookViewId="0">
      <selection activeCell="M13" sqref="M13"/>
    </sheetView>
  </sheetViews>
  <sheetFormatPr baseColWidth="10" defaultColWidth="12.625" defaultRowHeight="15" customHeight="1" x14ac:dyDescent="0.2"/>
  <cols>
    <col min="1" max="26" width="9.375" customWidth="1"/>
  </cols>
  <sheetData>
    <row r="15" ht="15.75" customHeight="1" x14ac:dyDescent="0.2"/>
    <row r="1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87EF-7C3C-40B3-87C8-1918B435BE00}">
  <dimension ref="A2:BL920"/>
  <sheetViews>
    <sheetView showGridLines="0" tabSelected="1" zoomScale="50" zoomScaleNormal="50" workbookViewId="0">
      <selection activeCell="K11" sqref="K11:K12"/>
    </sheetView>
  </sheetViews>
  <sheetFormatPr baseColWidth="10" defaultColWidth="12.625" defaultRowHeight="15.75" x14ac:dyDescent="0.3"/>
  <cols>
    <col min="1" max="2" width="3.25" style="12" customWidth="1"/>
    <col min="3" max="3" width="39.875" style="12" bestFit="1" customWidth="1"/>
    <col min="4" max="4" width="42.125" style="12" bestFit="1" customWidth="1"/>
    <col min="5" max="6" width="42.125" style="12" customWidth="1"/>
    <col min="7" max="7" width="53.25" style="12" bestFit="1" customWidth="1"/>
    <col min="8" max="8" width="9.875" style="12" customWidth="1"/>
    <col min="9" max="9" width="49.875" style="12" bestFit="1" customWidth="1"/>
    <col min="10" max="10" width="92.625" style="12" customWidth="1"/>
    <col min="11" max="11" width="77.625" style="12" customWidth="1"/>
    <col min="12" max="12" width="42.75" style="12" customWidth="1"/>
    <col min="13" max="13" width="25.875" style="12" customWidth="1"/>
    <col min="14" max="14" width="42.75" style="12" customWidth="1"/>
    <col min="15" max="15" width="30.125" style="12" customWidth="1"/>
    <col min="16" max="16" width="36.25" style="12" customWidth="1"/>
    <col min="17" max="17" width="19.75" style="12" customWidth="1"/>
    <col min="18" max="18" width="138.875" style="12" bestFit="1" customWidth="1"/>
    <col min="19" max="19" width="33.375" style="12" customWidth="1"/>
    <col min="20" max="27" width="6.375" style="12" customWidth="1"/>
    <col min="28" max="33" width="6.375" style="11" customWidth="1"/>
    <col min="34" max="35" width="6.375" style="12" customWidth="1"/>
    <col min="36" max="39" width="7.625" style="12" customWidth="1"/>
    <col min="40" max="40" width="12.625" style="12"/>
    <col min="41" max="41" width="24.25" style="12" customWidth="1"/>
    <col min="42" max="42" width="24.75" style="12" customWidth="1"/>
    <col min="43" max="16384" width="12.625" style="12"/>
  </cols>
  <sheetData>
    <row r="2" spans="1:45" ht="15" customHeight="1" thickBot="1" x14ac:dyDescent="0.35"/>
    <row r="3" spans="1:45" ht="15.75" customHeight="1" x14ac:dyDescent="0.3">
      <c r="A3" s="1"/>
      <c r="B3" s="1"/>
      <c r="C3" s="348" t="s">
        <v>4</v>
      </c>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50"/>
    </row>
    <row r="4" spans="1:45" ht="15.75" customHeight="1" thickBot="1" x14ac:dyDescent="0.35">
      <c r="A4" s="1"/>
      <c r="B4" s="1"/>
      <c r="C4" s="351"/>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3"/>
      <c r="AN4" s="1"/>
      <c r="AO4" s="1"/>
      <c r="AP4" s="1"/>
      <c r="AQ4" s="1"/>
    </row>
    <row r="5" spans="1:45" s="1" customFormat="1" ht="15.75" customHeight="1" thickBot="1" x14ac:dyDescent="0.35">
      <c r="C5" s="354" t="s">
        <v>5</v>
      </c>
      <c r="D5" s="356" t="s">
        <v>6</v>
      </c>
      <c r="E5" s="356" t="s">
        <v>1</v>
      </c>
      <c r="F5" s="356" t="s">
        <v>7</v>
      </c>
      <c r="G5" s="356" t="s">
        <v>8</v>
      </c>
      <c r="H5" s="338" t="s">
        <v>9</v>
      </c>
      <c r="I5" s="360" t="s">
        <v>10</v>
      </c>
      <c r="J5" s="362" t="s">
        <v>11</v>
      </c>
      <c r="K5" s="362" t="s">
        <v>12</v>
      </c>
      <c r="L5" s="360" t="s">
        <v>13</v>
      </c>
      <c r="M5" s="338" t="s">
        <v>14</v>
      </c>
      <c r="N5" s="338" t="s">
        <v>15</v>
      </c>
      <c r="O5" s="338" t="s">
        <v>16</v>
      </c>
      <c r="P5" s="369" t="s">
        <v>17</v>
      </c>
      <c r="Q5" s="338" t="s">
        <v>18</v>
      </c>
      <c r="R5" s="338" t="s">
        <v>19</v>
      </c>
      <c r="S5" s="329" t="s">
        <v>20</v>
      </c>
      <c r="T5" s="332" t="s">
        <v>21</v>
      </c>
      <c r="U5" s="333"/>
      <c r="V5" s="333"/>
      <c r="W5" s="333"/>
      <c r="X5" s="333"/>
      <c r="Y5" s="333"/>
      <c r="Z5" s="333"/>
      <c r="AA5" s="333"/>
      <c r="AB5" s="333"/>
      <c r="AC5" s="333"/>
      <c r="AD5" s="333"/>
      <c r="AE5" s="333"/>
      <c r="AF5" s="333"/>
      <c r="AG5" s="333"/>
      <c r="AH5" s="333"/>
      <c r="AI5" s="333"/>
      <c r="AJ5" s="333"/>
      <c r="AK5" s="333"/>
      <c r="AL5" s="333"/>
      <c r="AM5" s="334"/>
    </row>
    <row r="6" spans="1:45" s="1" customFormat="1" ht="15.75" customHeight="1" x14ac:dyDescent="0.3">
      <c r="C6" s="354"/>
      <c r="D6" s="356"/>
      <c r="E6" s="356"/>
      <c r="F6" s="356"/>
      <c r="G6" s="358"/>
      <c r="H6" s="338"/>
      <c r="I6" s="360"/>
      <c r="J6" s="363"/>
      <c r="K6" s="363"/>
      <c r="L6" s="365"/>
      <c r="M6" s="367"/>
      <c r="N6" s="367"/>
      <c r="O6" s="367"/>
      <c r="P6" s="370"/>
      <c r="Q6" s="338"/>
      <c r="R6" s="338"/>
      <c r="S6" s="330"/>
      <c r="T6" s="335" t="s">
        <v>22</v>
      </c>
      <c r="U6" s="336"/>
      <c r="V6" s="336"/>
      <c r="W6" s="337"/>
      <c r="X6" s="335" t="s">
        <v>23</v>
      </c>
      <c r="Y6" s="336"/>
      <c r="Z6" s="336"/>
      <c r="AA6" s="337"/>
      <c r="AB6" s="335" t="s">
        <v>24</v>
      </c>
      <c r="AC6" s="336"/>
      <c r="AD6" s="336"/>
      <c r="AE6" s="337"/>
      <c r="AF6" s="335" t="s">
        <v>25</v>
      </c>
      <c r="AG6" s="336"/>
      <c r="AH6" s="336"/>
      <c r="AI6" s="337"/>
      <c r="AJ6" s="335" t="s">
        <v>26</v>
      </c>
      <c r="AK6" s="336"/>
      <c r="AL6" s="336"/>
      <c r="AM6" s="337"/>
    </row>
    <row r="7" spans="1:45" s="1" customFormat="1" ht="51" customHeight="1" thickBot="1" x14ac:dyDescent="0.35">
      <c r="C7" s="355"/>
      <c r="D7" s="357"/>
      <c r="E7" s="357"/>
      <c r="F7" s="357"/>
      <c r="G7" s="359"/>
      <c r="H7" s="339"/>
      <c r="I7" s="361"/>
      <c r="J7" s="364"/>
      <c r="K7" s="364"/>
      <c r="L7" s="366"/>
      <c r="M7" s="368"/>
      <c r="N7" s="368"/>
      <c r="O7" s="368"/>
      <c r="P7" s="371"/>
      <c r="Q7" s="339"/>
      <c r="R7" s="339"/>
      <c r="S7" s="331"/>
      <c r="T7" s="6" t="s">
        <v>27</v>
      </c>
      <c r="U7" s="3" t="s">
        <v>28</v>
      </c>
      <c r="V7" s="3" t="s">
        <v>29</v>
      </c>
      <c r="W7" s="4" t="s">
        <v>30</v>
      </c>
      <c r="X7" s="6" t="s">
        <v>27</v>
      </c>
      <c r="Y7" s="3" t="s">
        <v>28</v>
      </c>
      <c r="Z7" s="3" t="s">
        <v>29</v>
      </c>
      <c r="AA7" s="4" t="s">
        <v>30</v>
      </c>
      <c r="AB7" s="6" t="s">
        <v>27</v>
      </c>
      <c r="AC7" s="3" t="s">
        <v>28</v>
      </c>
      <c r="AD7" s="3" t="s">
        <v>29</v>
      </c>
      <c r="AE7" s="4" t="s">
        <v>30</v>
      </c>
      <c r="AF7" s="6" t="s">
        <v>27</v>
      </c>
      <c r="AG7" s="3" t="s">
        <v>28</v>
      </c>
      <c r="AH7" s="3" t="s">
        <v>29</v>
      </c>
      <c r="AI7" s="4" t="s">
        <v>30</v>
      </c>
      <c r="AJ7" s="6" t="s">
        <v>27</v>
      </c>
      <c r="AK7" s="3" t="s">
        <v>28</v>
      </c>
      <c r="AL7" s="3" t="s">
        <v>29</v>
      </c>
      <c r="AM7" s="4" t="s">
        <v>30</v>
      </c>
    </row>
    <row r="8" spans="1:45" s="13" customFormat="1" ht="83.25" customHeight="1" thickBot="1" x14ac:dyDescent="0.35">
      <c r="C8" s="318" t="s">
        <v>31</v>
      </c>
      <c r="D8" s="318">
        <v>2023</v>
      </c>
      <c r="E8" s="30" t="s">
        <v>2</v>
      </c>
      <c r="F8" s="30" t="s">
        <v>3</v>
      </c>
      <c r="G8" s="322" t="s">
        <v>32</v>
      </c>
      <c r="H8" s="316" t="s">
        <v>33</v>
      </c>
      <c r="I8" s="322" t="s">
        <v>34</v>
      </c>
      <c r="J8" s="322" t="s">
        <v>35</v>
      </c>
      <c r="K8" s="316" t="s">
        <v>36</v>
      </c>
      <c r="L8" s="17" t="s">
        <v>37</v>
      </c>
      <c r="M8" s="17" t="s">
        <v>38</v>
      </c>
      <c r="N8" s="18" t="s">
        <v>39</v>
      </c>
      <c r="O8" s="344" t="s">
        <v>40</v>
      </c>
      <c r="P8" s="342" t="s">
        <v>41</v>
      </c>
      <c r="Q8" s="316" t="s">
        <v>42</v>
      </c>
      <c r="R8" s="340" t="s">
        <v>43</v>
      </c>
      <c r="S8" s="340" t="s">
        <v>44</v>
      </c>
      <c r="T8" s="37" t="s">
        <v>45</v>
      </c>
      <c r="U8" s="37" t="s">
        <v>45</v>
      </c>
      <c r="V8" s="37" t="s">
        <v>45</v>
      </c>
      <c r="W8" s="37" t="s">
        <v>45</v>
      </c>
      <c r="X8" s="37"/>
      <c r="Y8" s="37"/>
      <c r="Z8" s="37"/>
      <c r="AA8" s="37"/>
      <c r="AB8" s="37"/>
      <c r="AC8" s="37"/>
      <c r="AD8" s="37"/>
      <c r="AE8" s="37"/>
      <c r="AF8" s="37"/>
      <c r="AG8" s="37"/>
      <c r="AH8" s="37"/>
      <c r="AI8" s="37"/>
      <c r="AJ8" s="37"/>
      <c r="AK8" s="37"/>
      <c r="AL8" s="37"/>
      <c r="AM8" s="37"/>
    </row>
    <row r="9" spans="1:45" s="13" customFormat="1" ht="44.25" customHeight="1" thickBot="1" x14ac:dyDescent="0.35">
      <c r="C9" s="319"/>
      <c r="D9" s="319"/>
      <c r="E9" s="31"/>
      <c r="F9" s="31"/>
      <c r="G9" s="323"/>
      <c r="H9" s="324"/>
      <c r="I9" s="323"/>
      <c r="J9" s="323"/>
      <c r="K9" s="324"/>
      <c r="L9" s="16" t="s">
        <v>46</v>
      </c>
      <c r="M9" s="16" t="s">
        <v>38</v>
      </c>
      <c r="N9" s="19" t="s">
        <v>47</v>
      </c>
      <c r="O9" s="345"/>
      <c r="P9" s="343"/>
      <c r="Q9" s="317"/>
      <c r="R9" s="341"/>
      <c r="S9" s="347"/>
      <c r="T9" s="37"/>
      <c r="U9" s="37" t="s">
        <v>45</v>
      </c>
      <c r="V9" s="37"/>
      <c r="W9" s="37" t="s">
        <v>45</v>
      </c>
      <c r="X9" s="37"/>
      <c r="Y9" s="37"/>
      <c r="Z9" s="37"/>
      <c r="AA9" s="37"/>
      <c r="AB9" s="37"/>
      <c r="AC9" s="37"/>
      <c r="AD9" s="37"/>
      <c r="AE9" s="37"/>
      <c r="AF9" s="37"/>
      <c r="AG9" s="37"/>
      <c r="AH9" s="37"/>
      <c r="AI9" s="37"/>
      <c r="AJ9" s="37"/>
      <c r="AK9" s="37"/>
      <c r="AL9" s="37"/>
      <c r="AM9" s="37"/>
    </row>
    <row r="10" spans="1:45" s="13" customFormat="1" ht="83.25" thickBot="1" x14ac:dyDescent="0.35">
      <c r="C10" s="38" t="s">
        <v>31</v>
      </c>
      <c r="D10" s="38">
        <v>2023</v>
      </c>
      <c r="E10" s="38" t="s">
        <v>2</v>
      </c>
      <c r="F10" s="38" t="s">
        <v>3</v>
      </c>
      <c r="G10" s="32" t="s">
        <v>48</v>
      </c>
      <c r="H10" s="39" t="s">
        <v>33</v>
      </c>
      <c r="I10" s="32" t="s">
        <v>49</v>
      </c>
      <c r="J10" s="39" t="s">
        <v>50</v>
      </c>
      <c r="K10" s="39" t="s">
        <v>36</v>
      </c>
      <c r="L10" s="9" t="s">
        <v>51</v>
      </c>
      <c r="M10" s="9" t="s">
        <v>52</v>
      </c>
      <c r="N10" s="9" t="s">
        <v>53</v>
      </c>
      <c r="O10" s="345"/>
      <c r="P10" s="40">
        <v>32265305.949999999</v>
      </c>
      <c r="Q10" s="39" t="s">
        <v>42</v>
      </c>
      <c r="R10" s="39" t="s">
        <v>54</v>
      </c>
      <c r="S10" s="9"/>
      <c r="T10" s="37" t="s">
        <v>55</v>
      </c>
      <c r="U10" s="37" t="s">
        <v>55</v>
      </c>
      <c r="V10" s="37" t="s">
        <v>45</v>
      </c>
      <c r="W10" s="37" t="s">
        <v>55</v>
      </c>
      <c r="X10" s="37"/>
      <c r="Y10" s="37"/>
      <c r="Z10" s="37"/>
      <c r="AA10" s="37"/>
      <c r="AB10" s="37"/>
      <c r="AC10" s="37"/>
      <c r="AD10" s="37"/>
      <c r="AE10" s="37"/>
      <c r="AF10" s="37"/>
      <c r="AG10" s="37"/>
      <c r="AH10" s="37"/>
      <c r="AI10" s="37"/>
      <c r="AJ10" s="37"/>
      <c r="AK10" s="37"/>
      <c r="AL10" s="37"/>
      <c r="AM10" s="37"/>
    </row>
    <row r="11" spans="1:45" s="13" customFormat="1" ht="127.15" customHeight="1" thickBot="1" x14ac:dyDescent="0.35">
      <c r="C11" s="327" t="s">
        <v>31</v>
      </c>
      <c r="D11" s="318">
        <v>2023</v>
      </c>
      <c r="E11" s="30" t="s">
        <v>56</v>
      </c>
      <c r="F11" s="30" t="s">
        <v>57</v>
      </c>
      <c r="G11" s="322" t="s">
        <v>58</v>
      </c>
      <c r="H11" s="322" t="s">
        <v>33</v>
      </c>
      <c r="I11" s="322" t="s">
        <v>59</v>
      </c>
      <c r="J11" s="322" t="s">
        <v>60</v>
      </c>
      <c r="K11" s="322" t="s">
        <v>36</v>
      </c>
      <c r="L11" s="35" t="s">
        <v>61</v>
      </c>
      <c r="M11" s="35" t="s">
        <v>62</v>
      </c>
      <c r="N11" s="35" t="s">
        <v>63</v>
      </c>
      <c r="O11" s="345"/>
      <c r="P11" s="40" t="s">
        <v>64</v>
      </c>
      <c r="Q11" s="316" t="s">
        <v>65</v>
      </c>
      <c r="R11" s="322" t="s">
        <v>66</v>
      </c>
      <c r="S11" s="9" t="s">
        <v>67</v>
      </c>
      <c r="T11" s="37" t="s">
        <v>45</v>
      </c>
      <c r="U11" s="37" t="s">
        <v>45</v>
      </c>
      <c r="V11" s="37" t="s">
        <v>45</v>
      </c>
      <c r="W11" s="37" t="s">
        <v>45</v>
      </c>
      <c r="X11" s="37"/>
      <c r="Y11" s="37"/>
      <c r="Z11" s="37"/>
      <c r="AA11" s="37"/>
      <c r="AB11" s="37"/>
      <c r="AC11" s="37"/>
      <c r="AD11" s="37"/>
      <c r="AE11" s="37"/>
      <c r="AF11" s="37"/>
      <c r="AG11" s="37"/>
      <c r="AH11" s="37"/>
      <c r="AI11" s="37"/>
      <c r="AJ11" s="37"/>
      <c r="AK11" s="37"/>
      <c r="AL11" s="37"/>
      <c r="AM11" s="37"/>
    </row>
    <row r="12" spans="1:45" s="13" customFormat="1" ht="33.75" thickBot="1" x14ac:dyDescent="0.35">
      <c r="C12" s="328"/>
      <c r="D12" s="319"/>
      <c r="E12" s="31"/>
      <c r="F12" s="31"/>
      <c r="G12" s="323"/>
      <c r="H12" s="323"/>
      <c r="I12" s="323"/>
      <c r="J12" s="323"/>
      <c r="K12" s="323"/>
      <c r="L12" s="36" t="s">
        <v>68</v>
      </c>
      <c r="M12" s="36" t="s">
        <v>69</v>
      </c>
      <c r="N12" s="35" t="s">
        <v>70</v>
      </c>
      <c r="O12" s="345"/>
      <c r="P12" s="9" t="s">
        <v>71</v>
      </c>
      <c r="Q12" s="324"/>
      <c r="R12" s="323"/>
      <c r="S12" s="8"/>
      <c r="T12" s="37" t="s">
        <v>45</v>
      </c>
      <c r="U12" s="37" t="s">
        <v>45</v>
      </c>
      <c r="V12" s="37" t="s">
        <v>45</v>
      </c>
      <c r="W12" s="37" t="s">
        <v>45</v>
      </c>
      <c r="X12" s="37"/>
      <c r="Y12" s="37"/>
      <c r="Z12" s="37"/>
      <c r="AA12" s="37"/>
      <c r="AB12" s="37"/>
      <c r="AC12" s="37"/>
      <c r="AD12" s="37"/>
      <c r="AE12" s="37"/>
      <c r="AF12" s="37"/>
      <c r="AG12" s="37"/>
      <c r="AH12" s="37"/>
      <c r="AI12" s="37"/>
      <c r="AJ12" s="37"/>
      <c r="AK12" s="37"/>
      <c r="AL12" s="37"/>
      <c r="AM12" s="37"/>
    </row>
    <row r="13" spans="1:45" s="25" customFormat="1" ht="99" x14ac:dyDescent="0.3">
      <c r="A13" s="22"/>
      <c r="B13" s="22"/>
      <c r="C13" s="14" t="s">
        <v>31</v>
      </c>
      <c r="D13" s="14">
        <v>2023</v>
      </c>
      <c r="E13" s="14" t="s">
        <v>56</v>
      </c>
      <c r="F13" s="14" t="s">
        <v>72</v>
      </c>
      <c r="G13" s="27" t="s">
        <v>73</v>
      </c>
      <c r="H13" s="7" t="s">
        <v>33</v>
      </c>
      <c r="I13" s="27" t="s">
        <v>74</v>
      </c>
      <c r="J13" s="28" t="s">
        <v>75</v>
      </c>
      <c r="K13" s="34" t="s">
        <v>76</v>
      </c>
      <c r="L13" s="315" t="s">
        <v>77</v>
      </c>
      <c r="M13" s="15" t="s">
        <v>78</v>
      </c>
      <c r="N13" s="15" t="s">
        <v>79</v>
      </c>
      <c r="O13" s="345"/>
      <c r="P13" s="20" t="s">
        <v>80</v>
      </c>
      <c r="Q13" s="21" t="s">
        <v>81</v>
      </c>
      <c r="R13" s="15" t="s">
        <v>82</v>
      </c>
      <c r="S13" s="15"/>
      <c r="T13" s="37"/>
      <c r="U13" s="37"/>
      <c r="V13" s="37" t="s">
        <v>45</v>
      </c>
      <c r="W13" s="37" t="s">
        <v>45</v>
      </c>
      <c r="X13" s="37"/>
      <c r="Y13" s="37"/>
      <c r="Z13" s="37"/>
      <c r="AA13" s="37"/>
      <c r="AB13" s="37"/>
      <c r="AC13" s="37"/>
      <c r="AD13" s="37"/>
      <c r="AE13" s="37"/>
      <c r="AF13" s="37"/>
      <c r="AG13" s="37"/>
      <c r="AH13" s="37"/>
      <c r="AI13" s="37"/>
      <c r="AJ13" s="37"/>
      <c r="AK13" s="37"/>
      <c r="AL13" s="37"/>
      <c r="AM13" s="37"/>
      <c r="AN13" s="22"/>
      <c r="AO13" s="22"/>
      <c r="AP13" s="22"/>
      <c r="AQ13" s="22"/>
      <c r="AR13" s="22"/>
      <c r="AS13" s="22"/>
    </row>
    <row r="14" spans="1:45" s="25" customFormat="1" ht="48.75" customHeight="1" thickBot="1" x14ac:dyDescent="0.35">
      <c r="A14" s="22"/>
      <c r="B14" s="22"/>
      <c r="C14" s="14" t="s">
        <v>83</v>
      </c>
      <c r="D14" s="14" t="s">
        <v>84</v>
      </c>
      <c r="E14" s="14" t="s">
        <v>56</v>
      </c>
      <c r="F14" s="14" t="s">
        <v>72</v>
      </c>
      <c r="G14" s="27" t="s">
        <v>85</v>
      </c>
      <c r="H14" s="7" t="s">
        <v>33</v>
      </c>
      <c r="I14" s="27" t="s">
        <v>86</v>
      </c>
      <c r="J14" s="45" t="s">
        <v>87</v>
      </c>
      <c r="K14" s="28" t="s">
        <v>76</v>
      </c>
      <c r="L14" s="24" t="s">
        <v>88</v>
      </c>
      <c r="M14" s="24" t="s">
        <v>89</v>
      </c>
      <c r="N14" s="24" t="s">
        <v>90</v>
      </c>
      <c r="O14" s="345"/>
      <c r="P14" s="20" t="s">
        <v>91</v>
      </c>
      <c r="Q14" s="21" t="s">
        <v>81</v>
      </c>
      <c r="R14" s="15" t="s">
        <v>92</v>
      </c>
      <c r="S14" s="15"/>
      <c r="T14" s="37" t="s">
        <v>45</v>
      </c>
      <c r="U14" s="37" t="s">
        <v>45</v>
      </c>
      <c r="V14" s="37" t="s">
        <v>45</v>
      </c>
      <c r="W14" s="37" t="s">
        <v>45</v>
      </c>
      <c r="X14" s="37"/>
      <c r="Y14" s="37"/>
      <c r="Z14" s="37"/>
      <c r="AA14" s="37"/>
      <c r="AB14" s="37"/>
      <c r="AC14" s="37"/>
      <c r="AD14" s="37"/>
      <c r="AE14" s="37"/>
      <c r="AF14" s="37"/>
      <c r="AG14" s="37"/>
      <c r="AH14" s="37"/>
      <c r="AI14" s="37"/>
      <c r="AJ14" s="37"/>
      <c r="AK14" s="37"/>
      <c r="AL14" s="37"/>
      <c r="AM14" s="37"/>
      <c r="AN14" s="22"/>
      <c r="AO14" s="22"/>
      <c r="AP14" s="22"/>
      <c r="AQ14" s="22"/>
      <c r="AR14" s="22"/>
      <c r="AS14" s="22"/>
    </row>
    <row r="15" spans="1:45" s="25" customFormat="1" ht="83.25" thickBot="1" x14ac:dyDescent="0.35">
      <c r="A15" s="22"/>
      <c r="B15" s="22"/>
      <c r="C15" s="14" t="s">
        <v>93</v>
      </c>
      <c r="D15" s="14" t="s">
        <v>94</v>
      </c>
      <c r="E15" s="14" t="s">
        <v>2</v>
      </c>
      <c r="F15" s="14" t="s">
        <v>3</v>
      </c>
      <c r="G15" s="27" t="s">
        <v>95</v>
      </c>
      <c r="H15" s="15" t="s">
        <v>33</v>
      </c>
      <c r="I15" s="27" t="s">
        <v>96</v>
      </c>
      <c r="J15" s="21" t="s">
        <v>97</v>
      </c>
      <c r="K15" s="33" t="s">
        <v>76</v>
      </c>
      <c r="L15" s="23" t="s">
        <v>98</v>
      </c>
      <c r="M15" s="23" t="s">
        <v>99</v>
      </c>
      <c r="N15" s="24" t="s">
        <v>53</v>
      </c>
      <c r="O15" s="345"/>
      <c r="P15" s="20">
        <v>10000</v>
      </c>
      <c r="Q15" s="15" t="s">
        <v>42</v>
      </c>
      <c r="R15" s="15" t="s">
        <v>54</v>
      </c>
      <c r="S15" s="15"/>
      <c r="T15" s="37"/>
      <c r="U15" s="37"/>
      <c r="V15" s="37"/>
      <c r="W15" s="37" t="s">
        <v>45</v>
      </c>
      <c r="X15" s="37"/>
      <c r="Y15" s="37"/>
      <c r="Z15" s="37"/>
      <c r="AA15" s="37" t="s">
        <v>45</v>
      </c>
      <c r="AB15" s="37"/>
      <c r="AC15" s="37"/>
      <c r="AD15" s="37"/>
      <c r="AE15" s="37"/>
      <c r="AF15" s="37"/>
      <c r="AG15" s="37"/>
      <c r="AH15" s="37"/>
      <c r="AI15" s="37"/>
      <c r="AJ15" s="37"/>
      <c r="AK15" s="37"/>
      <c r="AL15" s="37"/>
      <c r="AM15" s="37"/>
      <c r="AN15" s="22"/>
      <c r="AO15" s="22"/>
      <c r="AP15" s="22"/>
      <c r="AQ15" s="22"/>
      <c r="AR15" s="22"/>
      <c r="AS15" s="22"/>
    </row>
    <row r="16" spans="1:45" s="25" customFormat="1" ht="33.75" customHeight="1" thickBot="1" x14ac:dyDescent="0.35">
      <c r="A16" s="22"/>
      <c r="B16" s="22"/>
      <c r="C16" s="325" t="s">
        <v>93</v>
      </c>
      <c r="D16" s="318" t="s">
        <v>100</v>
      </c>
      <c r="E16" s="318" t="s">
        <v>56</v>
      </c>
      <c r="F16" s="318" t="s">
        <v>57</v>
      </c>
      <c r="G16" s="320" t="s">
        <v>101</v>
      </c>
      <c r="H16" s="322" t="s">
        <v>33</v>
      </c>
      <c r="I16" s="320" t="s">
        <v>102</v>
      </c>
      <c r="J16" s="322" t="s">
        <v>103</v>
      </c>
      <c r="K16" s="322" t="s">
        <v>36</v>
      </c>
      <c r="L16" s="24" t="s">
        <v>104</v>
      </c>
      <c r="M16" s="24" t="s">
        <v>105</v>
      </c>
      <c r="N16" s="24" t="s">
        <v>70</v>
      </c>
      <c r="O16" s="345"/>
      <c r="P16" s="727" t="s">
        <v>106</v>
      </c>
      <c r="Q16" s="322" t="s">
        <v>107</v>
      </c>
      <c r="R16" s="322" t="s">
        <v>66</v>
      </c>
      <c r="S16" s="15"/>
      <c r="T16" s="37" t="s">
        <v>45</v>
      </c>
      <c r="U16" s="37" t="s">
        <v>45</v>
      </c>
      <c r="V16" s="37" t="s">
        <v>45</v>
      </c>
      <c r="W16" s="37" t="s">
        <v>45</v>
      </c>
      <c r="X16" s="37" t="s">
        <v>45</v>
      </c>
      <c r="Y16" s="37" t="s">
        <v>45</v>
      </c>
      <c r="Z16" s="37" t="s">
        <v>45</v>
      </c>
      <c r="AA16" s="37" t="s">
        <v>45</v>
      </c>
      <c r="AB16" s="37"/>
      <c r="AC16" s="37"/>
      <c r="AD16" s="37"/>
      <c r="AE16" s="37"/>
      <c r="AF16" s="37"/>
      <c r="AG16" s="37"/>
      <c r="AH16" s="37"/>
      <c r="AI16" s="37"/>
      <c r="AJ16" s="37"/>
      <c r="AK16" s="37"/>
      <c r="AL16" s="37"/>
      <c r="AM16" s="37"/>
      <c r="AN16" s="22"/>
      <c r="AO16" s="22"/>
      <c r="AP16" s="22"/>
      <c r="AQ16" s="22"/>
      <c r="AR16" s="22"/>
      <c r="AS16" s="22"/>
    </row>
    <row r="17" spans="1:64" s="25" customFormat="1" ht="33.75" thickBot="1" x14ac:dyDescent="0.35">
      <c r="A17" s="22"/>
      <c r="B17" s="22"/>
      <c r="C17" s="326"/>
      <c r="D17" s="319"/>
      <c r="E17" s="319"/>
      <c r="F17" s="319"/>
      <c r="G17" s="321"/>
      <c r="H17" s="323"/>
      <c r="I17" s="321"/>
      <c r="J17" s="323"/>
      <c r="K17" s="323"/>
      <c r="L17" s="24" t="s">
        <v>108</v>
      </c>
      <c r="M17" s="24" t="s">
        <v>62</v>
      </c>
      <c r="N17" s="24" t="s">
        <v>63</v>
      </c>
      <c r="O17" s="345"/>
      <c r="P17" s="20" t="s">
        <v>109</v>
      </c>
      <c r="Q17" s="323"/>
      <c r="R17" s="323"/>
      <c r="S17" s="15"/>
      <c r="T17" s="37" t="s">
        <v>45</v>
      </c>
      <c r="U17" s="37" t="s">
        <v>45</v>
      </c>
      <c r="V17" s="37" t="s">
        <v>45</v>
      </c>
      <c r="W17" s="37" t="s">
        <v>45</v>
      </c>
      <c r="X17" s="37" t="s">
        <v>45</v>
      </c>
      <c r="Y17" s="37" t="s">
        <v>45</v>
      </c>
      <c r="Z17" s="37" t="s">
        <v>45</v>
      </c>
      <c r="AA17" s="37" t="s">
        <v>45</v>
      </c>
      <c r="AB17" s="37"/>
      <c r="AC17" s="37"/>
      <c r="AD17" s="37"/>
      <c r="AE17" s="37"/>
      <c r="AF17" s="37"/>
      <c r="AG17" s="37"/>
      <c r="AH17" s="37"/>
      <c r="AI17" s="37"/>
      <c r="AJ17" s="37"/>
      <c r="AK17" s="37"/>
      <c r="AL17" s="37"/>
      <c r="AM17" s="37"/>
      <c r="AN17" s="22"/>
      <c r="AO17" s="22"/>
      <c r="AP17" s="22"/>
      <c r="AQ17" s="22"/>
      <c r="AR17" s="22"/>
      <c r="AS17" s="22"/>
    </row>
    <row r="18" spans="1:64" s="25" customFormat="1" ht="50.25" hidden="1" thickBot="1" x14ac:dyDescent="0.35">
      <c r="A18" s="22"/>
      <c r="B18" s="22"/>
      <c r="C18" s="31" t="s">
        <v>93</v>
      </c>
      <c r="D18" s="31">
        <v>2025</v>
      </c>
      <c r="E18" s="31" t="s">
        <v>56</v>
      </c>
      <c r="F18" s="31" t="s">
        <v>57</v>
      </c>
      <c r="G18" s="43" t="s">
        <v>110</v>
      </c>
      <c r="H18" s="21" t="s">
        <v>33</v>
      </c>
      <c r="I18" s="43" t="s">
        <v>111</v>
      </c>
      <c r="J18" s="21" t="s">
        <v>112</v>
      </c>
      <c r="K18" s="44" t="s">
        <v>113</v>
      </c>
      <c r="L18" s="24" t="s">
        <v>114</v>
      </c>
      <c r="M18" s="24" t="s">
        <v>115</v>
      </c>
      <c r="N18" s="24" t="s">
        <v>116</v>
      </c>
      <c r="O18" s="345"/>
      <c r="P18" s="20" t="s">
        <v>91</v>
      </c>
      <c r="Q18" s="21" t="s">
        <v>107</v>
      </c>
      <c r="R18" s="21" t="s">
        <v>66</v>
      </c>
      <c r="S18" s="15"/>
      <c r="T18" s="37"/>
      <c r="U18" s="37"/>
      <c r="V18" s="37"/>
      <c r="W18" s="37"/>
      <c r="X18" s="37"/>
      <c r="Y18" s="37"/>
      <c r="Z18" s="37" t="s">
        <v>45</v>
      </c>
      <c r="AA18" s="37" t="s">
        <v>45</v>
      </c>
      <c r="AB18" s="37"/>
      <c r="AC18" s="37"/>
      <c r="AD18" s="37"/>
      <c r="AE18" s="37"/>
      <c r="AF18" s="37"/>
      <c r="AG18" s="37"/>
      <c r="AH18" s="37"/>
      <c r="AI18" s="37"/>
      <c r="AJ18" s="37"/>
      <c r="AK18" s="37"/>
      <c r="AL18" s="37"/>
      <c r="AM18" s="37"/>
      <c r="AN18" s="22"/>
      <c r="AO18" s="22"/>
      <c r="AP18" s="22"/>
      <c r="AQ18" s="22"/>
      <c r="AR18" s="22"/>
      <c r="AS18" s="22"/>
    </row>
    <row r="19" spans="1:64" s="25" customFormat="1" ht="68.25" thickBot="1" x14ac:dyDescent="0.35">
      <c r="A19" s="22"/>
      <c r="B19" s="22"/>
      <c r="C19" s="14" t="s">
        <v>93</v>
      </c>
      <c r="D19" s="14">
        <v>2024</v>
      </c>
      <c r="E19" s="14" t="s">
        <v>56</v>
      </c>
      <c r="F19" s="14" t="s">
        <v>72</v>
      </c>
      <c r="G19" s="27" t="s">
        <v>73</v>
      </c>
      <c r="H19" s="7" t="s">
        <v>33</v>
      </c>
      <c r="I19" s="27" t="s">
        <v>117</v>
      </c>
      <c r="J19" s="28" t="s">
        <v>118</v>
      </c>
      <c r="K19" s="34" t="s">
        <v>76</v>
      </c>
      <c r="L19" s="26" t="s">
        <v>119</v>
      </c>
      <c r="M19" s="15" t="s">
        <v>120</v>
      </c>
      <c r="N19" s="15" t="s">
        <v>79</v>
      </c>
      <c r="O19" s="345"/>
      <c r="P19" s="20">
        <v>8000000</v>
      </c>
      <c r="Q19" s="21" t="s">
        <v>81</v>
      </c>
      <c r="R19" s="15" t="s">
        <v>82</v>
      </c>
      <c r="S19" s="15"/>
      <c r="T19" s="37"/>
      <c r="U19" s="37"/>
      <c r="V19" s="37"/>
      <c r="W19" s="37"/>
      <c r="X19" s="37" t="s">
        <v>45</v>
      </c>
      <c r="Y19" s="37" t="s">
        <v>45</v>
      </c>
      <c r="Z19" s="37"/>
      <c r="AA19" s="37"/>
      <c r="AB19" s="37"/>
      <c r="AC19" s="37"/>
      <c r="AD19" s="37"/>
      <c r="AE19" s="37"/>
      <c r="AF19" s="47"/>
      <c r="AG19" s="37"/>
      <c r="AH19" s="37"/>
      <c r="AI19" s="37"/>
      <c r="AJ19" s="47"/>
      <c r="AK19" s="37"/>
      <c r="AL19" s="37"/>
      <c r="AM19" s="37"/>
      <c r="AN19" s="22"/>
      <c r="AO19" s="22"/>
      <c r="AP19" s="22"/>
      <c r="AQ19" s="22"/>
      <c r="AR19" s="22"/>
      <c r="AS19" s="22"/>
    </row>
    <row r="20" spans="1:64" s="25" customFormat="1" ht="48.75" customHeight="1" thickBot="1" x14ac:dyDescent="0.35">
      <c r="A20" s="22"/>
      <c r="B20" s="22"/>
      <c r="C20" s="14" t="s">
        <v>93</v>
      </c>
      <c r="D20" s="14" t="s">
        <v>94</v>
      </c>
      <c r="E20" s="14" t="s">
        <v>56</v>
      </c>
      <c r="F20" s="14" t="s">
        <v>72</v>
      </c>
      <c r="G20" s="27" t="s">
        <v>85</v>
      </c>
      <c r="H20" s="7" t="s">
        <v>33</v>
      </c>
      <c r="I20" s="27" t="s">
        <v>121</v>
      </c>
      <c r="J20" s="45" t="s">
        <v>87</v>
      </c>
      <c r="K20" s="28" t="s">
        <v>76</v>
      </c>
      <c r="L20" s="15" t="s">
        <v>88</v>
      </c>
      <c r="M20" s="26" t="s">
        <v>89</v>
      </c>
      <c r="N20" s="26" t="s">
        <v>90</v>
      </c>
      <c r="O20" s="345"/>
      <c r="P20" s="20" t="s">
        <v>91</v>
      </c>
      <c r="Q20" s="21" t="s">
        <v>81</v>
      </c>
      <c r="R20" s="15" t="s">
        <v>92</v>
      </c>
      <c r="S20" s="15"/>
      <c r="T20" s="37"/>
      <c r="U20" s="37"/>
      <c r="V20" s="37"/>
      <c r="W20" s="37"/>
      <c r="X20" s="37" t="s">
        <v>45</v>
      </c>
      <c r="Y20" s="37" t="s">
        <v>45</v>
      </c>
      <c r="Z20" s="37" t="s">
        <v>45</v>
      </c>
      <c r="AA20" s="37" t="s">
        <v>45</v>
      </c>
      <c r="AB20" s="37" t="s">
        <v>45</v>
      </c>
      <c r="AC20" s="37" t="s">
        <v>45</v>
      </c>
      <c r="AD20" s="37" t="s">
        <v>45</v>
      </c>
      <c r="AE20" s="46" t="s">
        <v>45</v>
      </c>
      <c r="AF20" s="42"/>
      <c r="AG20" s="37"/>
      <c r="AH20" s="37"/>
      <c r="AI20" s="37"/>
      <c r="AJ20" s="42"/>
      <c r="AK20" s="37"/>
      <c r="AL20" s="37"/>
      <c r="AM20" s="37"/>
      <c r="AN20" s="22"/>
      <c r="AO20" s="22"/>
      <c r="AP20" s="22"/>
      <c r="AQ20" s="22"/>
      <c r="AR20" s="22"/>
      <c r="AS20" s="22"/>
    </row>
    <row r="21" spans="1:64" s="25" customFormat="1" ht="48.75" customHeight="1" thickBot="1" x14ac:dyDescent="0.35">
      <c r="A21" s="22"/>
      <c r="B21" s="22"/>
      <c r="C21" s="14" t="s">
        <v>122</v>
      </c>
      <c r="D21" s="14" t="s">
        <v>123</v>
      </c>
      <c r="E21" s="14" t="s">
        <v>56</v>
      </c>
      <c r="F21" s="14" t="s">
        <v>72</v>
      </c>
      <c r="G21" s="27" t="s">
        <v>85</v>
      </c>
      <c r="H21" s="7" t="s">
        <v>33</v>
      </c>
      <c r="I21" s="27" t="s">
        <v>124</v>
      </c>
      <c r="J21" s="45" t="s">
        <v>87</v>
      </c>
      <c r="K21" s="28" t="s">
        <v>76</v>
      </c>
      <c r="L21" s="15" t="s">
        <v>88</v>
      </c>
      <c r="M21" s="26" t="s">
        <v>89</v>
      </c>
      <c r="N21" s="26" t="s">
        <v>90</v>
      </c>
      <c r="O21" s="345"/>
      <c r="P21" s="20" t="s">
        <v>91</v>
      </c>
      <c r="Q21" s="21" t="s">
        <v>81</v>
      </c>
      <c r="R21" s="15" t="s">
        <v>92</v>
      </c>
      <c r="S21" s="15"/>
      <c r="T21" s="37"/>
      <c r="U21" s="37"/>
      <c r="V21" s="37"/>
      <c r="W21" s="37"/>
      <c r="X21" s="37"/>
      <c r="Y21" s="37"/>
      <c r="Z21" s="37"/>
      <c r="AA21" s="37"/>
      <c r="AB21" s="37"/>
      <c r="AC21" s="37"/>
      <c r="AD21" s="37"/>
      <c r="AE21" s="46"/>
      <c r="AF21" s="42" t="s">
        <v>45</v>
      </c>
      <c r="AG21" s="37" t="s">
        <v>45</v>
      </c>
      <c r="AH21" s="37" t="s">
        <v>45</v>
      </c>
      <c r="AI21" s="37" t="s">
        <v>45</v>
      </c>
      <c r="AJ21" s="42" t="s">
        <v>45</v>
      </c>
      <c r="AK21" s="37" t="s">
        <v>45</v>
      </c>
      <c r="AL21" s="37" t="s">
        <v>45</v>
      </c>
      <c r="AM21" s="37" t="s">
        <v>45</v>
      </c>
      <c r="AN21" s="22"/>
      <c r="AO21" s="22"/>
      <c r="AP21" s="22"/>
      <c r="AQ21" s="22"/>
      <c r="AR21" s="22"/>
      <c r="AS21" s="22"/>
    </row>
    <row r="22" spans="1:64" ht="85.15" customHeight="1" thickBot="1" x14ac:dyDescent="0.35">
      <c r="A22" s="1"/>
      <c r="B22" s="1"/>
      <c r="C22" s="31" t="s">
        <v>122</v>
      </c>
      <c r="D22" s="31">
        <v>2026</v>
      </c>
      <c r="E22" s="31" t="s">
        <v>56</v>
      </c>
      <c r="F22" s="14" t="s">
        <v>3</v>
      </c>
      <c r="G22" s="21" t="s">
        <v>125</v>
      </c>
      <c r="H22" s="5" t="s">
        <v>33</v>
      </c>
      <c r="I22" s="21" t="s">
        <v>126</v>
      </c>
      <c r="J22" s="29" t="s">
        <v>127</v>
      </c>
      <c r="K22" s="29" t="s">
        <v>36</v>
      </c>
      <c r="L22" s="2" t="s">
        <v>128</v>
      </c>
      <c r="M22" s="29" t="s">
        <v>62</v>
      </c>
      <c r="N22" s="16" t="s">
        <v>129</v>
      </c>
      <c r="O22" s="346"/>
      <c r="P22" s="20">
        <v>6000000</v>
      </c>
      <c r="Q22" s="15" t="s">
        <v>42</v>
      </c>
      <c r="R22" s="15" t="s">
        <v>130</v>
      </c>
      <c r="S22" s="29"/>
      <c r="T22" s="41"/>
      <c r="U22" s="48"/>
      <c r="V22" s="49"/>
      <c r="W22" s="50"/>
      <c r="X22" s="41"/>
      <c r="Y22" s="48"/>
      <c r="Z22" s="49"/>
      <c r="AA22" s="50"/>
      <c r="AB22" s="41"/>
      <c r="AC22" s="48"/>
      <c r="AD22" s="49"/>
      <c r="AE22" s="50"/>
      <c r="AF22" s="41" t="s">
        <v>45</v>
      </c>
      <c r="AG22" s="48" t="s">
        <v>45</v>
      </c>
      <c r="AH22" s="49" t="s">
        <v>45</v>
      </c>
      <c r="AI22" s="41" t="s">
        <v>45</v>
      </c>
      <c r="AJ22" s="48"/>
      <c r="AK22" s="49"/>
      <c r="AL22" s="41"/>
      <c r="AM22" s="48"/>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ht="125.45" customHeight="1" thickBot="1" x14ac:dyDescent="0.35">
      <c r="A23" s="1"/>
      <c r="B23" s="1"/>
      <c r="C23" s="31" t="s">
        <v>31</v>
      </c>
      <c r="D23" s="31">
        <v>2023</v>
      </c>
      <c r="E23" s="31" t="s">
        <v>56</v>
      </c>
      <c r="F23" s="31" t="s">
        <v>57</v>
      </c>
      <c r="G23" s="21" t="s">
        <v>131</v>
      </c>
      <c r="H23" s="21" t="s">
        <v>33</v>
      </c>
      <c r="I23" s="21" t="s">
        <v>132</v>
      </c>
      <c r="J23" s="21" t="s">
        <v>133</v>
      </c>
      <c r="K23" s="29" t="s">
        <v>36</v>
      </c>
      <c r="L23" s="2" t="s">
        <v>134</v>
      </c>
      <c r="M23" s="2" t="s">
        <v>135</v>
      </c>
      <c r="N23" s="2" t="s">
        <v>136</v>
      </c>
      <c r="O23" s="2" t="s">
        <v>137</v>
      </c>
      <c r="P23" s="20">
        <v>383628</v>
      </c>
      <c r="Q23" s="21" t="s">
        <v>81</v>
      </c>
      <c r="R23" s="15" t="s">
        <v>138</v>
      </c>
      <c r="S23" s="261"/>
      <c r="T23" s="37"/>
      <c r="U23" s="37"/>
      <c r="V23" s="37" t="s">
        <v>45</v>
      </c>
      <c r="W23" s="37" t="s">
        <v>45</v>
      </c>
      <c r="X23" s="37"/>
      <c r="Y23" s="37"/>
      <c r="Z23" s="37"/>
      <c r="AA23" s="37"/>
      <c r="AB23" s="37"/>
      <c r="AC23" s="37"/>
      <c r="AD23" s="37"/>
      <c r="AE23" s="37"/>
      <c r="AF23" s="37"/>
      <c r="AG23" s="37"/>
      <c r="AH23" s="37"/>
      <c r="AI23" s="37"/>
      <c r="AJ23" s="37"/>
      <c r="AK23" s="37"/>
      <c r="AL23" s="37"/>
      <c r="AM23" s="37"/>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ht="66.75" customHeight="1" thickBot="1" x14ac:dyDescent="0.35">
      <c r="A24" s="1"/>
      <c r="B24" s="1"/>
      <c r="C24" s="31" t="s">
        <v>93</v>
      </c>
      <c r="D24" s="31" t="s">
        <v>139</v>
      </c>
      <c r="E24" s="31" t="s">
        <v>56</v>
      </c>
      <c r="F24" s="31" t="s">
        <v>57</v>
      </c>
      <c r="G24" s="21" t="s">
        <v>140</v>
      </c>
      <c r="H24" s="21" t="s">
        <v>33</v>
      </c>
      <c r="I24" s="21" t="s">
        <v>141</v>
      </c>
      <c r="J24" s="21" t="s">
        <v>133</v>
      </c>
      <c r="K24" s="29" t="s">
        <v>36</v>
      </c>
      <c r="L24" s="2" t="s">
        <v>142</v>
      </c>
      <c r="M24" s="2" t="s">
        <v>135</v>
      </c>
      <c r="N24" s="2" t="s">
        <v>143</v>
      </c>
      <c r="O24" s="2" t="s">
        <v>137</v>
      </c>
      <c r="P24" s="20">
        <f>21500*550</f>
        <v>11825000</v>
      </c>
      <c r="Q24" s="21" t="s">
        <v>81</v>
      </c>
      <c r="R24" s="15" t="s">
        <v>138</v>
      </c>
      <c r="S24" s="271"/>
      <c r="T24" s="37"/>
      <c r="U24" s="37"/>
      <c r="V24" s="37"/>
      <c r="W24" s="37"/>
      <c r="X24" s="37"/>
      <c r="Y24" s="37"/>
      <c r="Z24" s="37"/>
      <c r="AA24" s="37" t="s">
        <v>55</v>
      </c>
      <c r="AB24" s="37" t="s">
        <v>55</v>
      </c>
      <c r="AC24" s="37" t="s">
        <v>55</v>
      </c>
      <c r="AD24" s="37" t="s">
        <v>55</v>
      </c>
      <c r="AE24" s="37"/>
      <c r="AF24" s="37"/>
      <c r="AG24" s="37"/>
      <c r="AH24" s="37"/>
      <c r="AI24" s="37"/>
      <c r="AJ24" s="37"/>
      <c r="AK24" s="37"/>
      <c r="AL24" s="37"/>
      <c r="AM24" s="37"/>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0"/>
      <c r="AC25" s="10"/>
      <c r="AD25" s="10"/>
      <c r="AE25" s="10"/>
      <c r="AF25" s="10"/>
    </row>
    <row r="26" spans="1:64"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0"/>
      <c r="AC26" s="10"/>
      <c r="AD26" s="10"/>
      <c r="AE26" s="10"/>
      <c r="AF26" s="10"/>
    </row>
    <row r="27" spans="1:64"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0"/>
      <c r="AC27" s="10"/>
      <c r="AD27" s="10"/>
      <c r="AE27" s="10"/>
      <c r="AF27" s="10"/>
    </row>
    <row r="28" spans="1:64"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0"/>
      <c r="AC28" s="10"/>
      <c r="AD28" s="10"/>
      <c r="AE28" s="10"/>
      <c r="AF28" s="10"/>
    </row>
    <row r="29" spans="1:64" ht="15.75" customHeight="1" x14ac:dyDescent="0.3">
      <c r="A29" s="1"/>
      <c r="B29" s="1"/>
      <c r="C29" s="1"/>
      <c r="D29" s="1"/>
      <c r="E29" s="1"/>
      <c r="F29" s="1"/>
      <c r="G29"/>
      <c r="H29" s="1"/>
      <c r="I29" s="1"/>
      <c r="J29" s="1"/>
      <c r="K29" s="1"/>
      <c r="L29" s="1"/>
      <c r="M29" s="1"/>
      <c r="N29" s="1"/>
      <c r="O29" s="1"/>
      <c r="P29" s="1"/>
      <c r="Q29" s="1"/>
      <c r="R29" s="1"/>
      <c r="S29" s="1"/>
      <c r="T29" s="1"/>
      <c r="U29" s="1"/>
      <c r="V29" s="1"/>
      <c r="W29" s="1"/>
      <c r="X29" s="1"/>
      <c r="Y29" s="1"/>
      <c r="Z29" s="1"/>
      <c r="AA29" s="1"/>
      <c r="AB29" s="10"/>
      <c r="AC29" s="10"/>
      <c r="AD29" s="10"/>
      <c r="AE29" s="10"/>
      <c r="AF29" s="10"/>
    </row>
    <row r="30" spans="1:64"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0"/>
      <c r="AC30" s="10"/>
      <c r="AD30" s="10"/>
      <c r="AE30" s="10"/>
      <c r="AF30" s="10"/>
    </row>
    <row r="31" spans="1:64"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0"/>
      <c r="AC31" s="10"/>
      <c r="AD31" s="10"/>
      <c r="AE31" s="10"/>
      <c r="AF31" s="10"/>
    </row>
    <row r="32" spans="1:64"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0"/>
      <c r="AC32" s="10"/>
      <c r="AD32" s="10"/>
      <c r="AE32" s="10"/>
      <c r="AF32" s="10"/>
    </row>
    <row r="33" spans="1:32"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0"/>
      <c r="AC33" s="10"/>
      <c r="AD33" s="10"/>
      <c r="AE33" s="10"/>
      <c r="AF33" s="10"/>
    </row>
    <row r="34" spans="1:32"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0"/>
      <c r="AC34" s="10"/>
      <c r="AD34" s="10"/>
      <c r="AE34" s="10"/>
      <c r="AF34" s="10"/>
    </row>
    <row r="35" spans="1:32"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0"/>
      <c r="AC35" s="10"/>
      <c r="AD35" s="10"/>
      <c r="AE35" s="10"/>
      <c r="AF35" s="10"/>
    </row>
    <row r="36" spans="1:32"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0"/>
      <c r="AC36" s="10"/>
      <c r="AD36" s="10"/>
      <c r="AE36" s="10"/>
      <c r="AF36" s="10"/>
    </row>
    <row r="37" spans="1:32"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0"/>
      <c r="AC37" s="10"/>
      <c r="AD37" s="10"/>
      <c r="AE37" s="10"/>
      <c r="AF37" s="10"/>
    </row>
    <row r="38" spans="1:32"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0"/>
      <c r="AC38" s="10"/>
      <c r="AD38" s="10"/>
      <c r="AE38" s="10"/>
      <c r="AF38" s="10"/>
    </row>
    <row r="39" spans="1:32"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0"/>
      <c r="AC39" s="10"/>
      <c r="AD39" s="10"/>
      <c r="AE39" s="10"/>
      <c r="AF39" s="10"/>
    </row>
    <row r="40" spans="1:32"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0"/>
      <c r="AC40" s="10"/>
      <c r="AD40" s="10"/>
      <c r="AE40" s="10"/>
      <c r="AF40" s="10"/>
    </row>
    <row r="41" spans="1:32"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0"/>
      <c r="AC41" s="10"/>
      <c r="AD41" s="10"/>
      <c r="AE41" s="10"/>
      <c r="AF41" s="10"/>
    </row>
    <row r="42" spans="1:32"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0"/>
      <c r="AC42" s="10"/>
      <c r="AD42" s="10"/>
      <c r="AE42" s="10"/>
      <c r="AF42" s="10"/>
    </row>
    <row r="43" spans="1:32"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0"/>
      <c r="AC43" s="10"/>
      <c r="AD43" s="10"/>
      <c r="AE43" s="10"/>
      <c r="AF43" s="10"/>
    </row>
    <row r="44" spans="1:32"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0"/>
      <c r="AC44" s="10"/>
      <c r="AD44" s="10"/>
      <c r="AE44" s="10"/>
      <c r="AF44" s="10"/>
    </row>
    <row r="45" spans="1:32"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0"/>
      <c r="AC45" s="10"/>
      <c r="AD45" s="10"/>
      <c r="AE45" s="10"/>
      <c r="AF45" s="10"/>
    </row>
    <row r="46" spans="1:32"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0"/>
      <c r="AC46" s="10"/>
      <c r="AD46" s="10"/>
      <c r="AE46" s="10"/>
      <c r="AF46" s="10"/>
    </row>
    <row r="47" spans="1:32"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0"/>
      <c r="AC47" s="10"/>
      <c r="AD47" s="10"/>
      <c r="AE47" s="10"/>
      <c r="AF47" s="10"/>
    </row>
    <row r="48" spans="1:32"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0"/>
      <c r="AC48" s="10"/>
      <c r="AD48" s="10"/>
      <c r="AE48" s="10"/>
      <c r="AF48" s="10"/>
    </row>
    <row r="49" spans="1:32"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0"/>
      <c r="AC49" s="10"/>
      <c r="AD49" s="10"/>
      <c r="AE49" s="10"/>
      <c r="AF49" s="10"/>
    </row>
    <row r="50" spans="1:32"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0"/>
      <c r="AC50" s="10"/>
      <c r="AD50" s="10"/>
      <c r="AE50" s="10"/>
      <c r="AF50" s="10"/>
    </row>
    <row r="51" spans="1:32"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0"/>
      <c r="AC51" s="10"/>
      <c r="AD51" s="10"/>
      <c r="AE51" s="10"/>
      <c r="AF51" s="10"/>
    </row>
    <row r="52" spans="1:32"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0"/>
      <c r="AC52" s="10"/>
      <c r="AD52" s="10"/>
      <c r="AE52" s="10"/>
      <c r="AF52" s="10"/>
    </row>
    <row r="53" spans="1:32"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0"/>
      <c r="AC53" s="10"/>
      <c r="AD53" s="10"/>
      <c r="AE53" s="10"/>
      <c r="AF53" s="10"/>
    </row>
    <row r="54" spans="1:32"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0"/>
      <c r="AC54" s="10"/>
      <c r="AD54" s="10"/>
      <c r="AE54" s="10"/>
      <c r="AF54" s="10"/>
    </row>
    <row r="55" spans="1:32"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0"/>
      <c r="AC55" s="10"/>
      <c r="AD55" s="10"/>
      <c r="AE55" s="10"/>
      <c r="AF55" s="10"/>
    </row>
    <row r="56" spans="1:32"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0"/>
      <c r="AC56" s="10"/>
      <c r="AD56" s="10"/>
      <c r="AE56" s="10"/>
      <c r="AF56" s="10"/>
    </row>
    <row r="57" spans="1:32"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0"/>
      <c r="AC57" s="10"/>
      <c r="AD57" s="10"/>
      <c r="AE57" s="10"/>
      <c r="AF57" s="10"/>
    </row>
    <row r="58" spans="1:32"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0"/>
      <c r="AC58" s="10"/>
      <c r="AD58" s="10"/>
      <c r="AE58" s="10"/>
      <c r="AF58" s="10"/>
    </row>
    <row r="59" spans="1:32"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0"/>
      <c r="AC59" s="10"/>
      <c r="AD59" s="10"/>
      <c r="AE59" s="10"/>
      <c r="AF59" s="10"/>
    </row>
    <row r="60" spans="1:32"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0"/>
      <c r="AC60" s="10"/>
      <c r="AD60" s="10"/>
      <c r="AE60" s="10"/>
      <c r="AF60" s="10"/>
    </row>
    <row r="61" spans="1:32"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0"/>
      <c r="AC61" s="10"/>
      <c r="AD61" s="10"/>
      <c r="AE61" s="10"/>
      <c r="AF61" s="10"/>
    </row>
    <row r="62" spans="1:32"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0"/>
      <c r="AC62" s="10"/>
      <c r="AD62" s="10"/>
      <c r="AE62" s="10"/>
      <c r="AF62" s="10"/>
    </row>
    <row r="63" spans="1:32"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0"/>
      <c r="AC63" s="10"/>
      <c r="AD63" s="10"/>
      <c r="AE63" s="10"/>
      <c r="AF63" s="10"/>
    </row>
    <row r="64" spans="1:32"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0"/>
      <c r="AC64" s="10"/>
      <c r="AD64" s="10"/>
      <c r="AE64" s="10"/>
      <c r="AF64" s="10"/>
    </row>
    <row r="65" spans="1:32"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0"/>
      <c r="AC65" s="10"/>
      <c r="AD65" s="10"/>
      <c r="AE65" s="10"/>
      <c r="AF65" s="10"/>
    </row>
    <row r="66" spans="1:32"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0"/>
      <c r="AC66" s="10"/>
      <c r="AD66" s="10"/>
      <c r="AE66" s="10"/>
      <c r="AF66" s="10"/>
    </row>
    <row r="67" spans="1:32"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0"/>
      <c r="AC67" s="10"/>
      <c r="AD67" s="10"/>
      <c r="AE67" s="10"/>
      <c r="AF67" s="10"/>
    </row>
    <row r="68" spans="1:32"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0"/>
      <c r="AC68" s="10"/>
      <c r="AD68" s="10"/>
      <c r="AE68" s="10"/>
      <c r="AF68" s="10"/>
    </row>
    <row r="69" spans="1:32"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0"/>
      <c r="AC69" s="10"/>
      <c r="AD69" s="10"/>
      <c r="AE69" s="10"/>
      <c r="AF69" s="10"/>
    </row>
    <row r="70" spans="1:32"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0"/>
      <c r="AC70" s="10"/>
      <c r="AD70" s="10"/>
      <c r="AE70" s="10"/>
      <c r="AF70" s="10"/>
    </row>
    <row r="71" spans="1:32"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0"/>
      <c r="AC71" s="10"/>
      <c r="AD71" s="10"/>
      <c r="AE71" s="10"/>
      <c r="AF71" s="10"/>
    </row>
    <row r="72" spans="1:32"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0"/>
      <c r="AC72" s="10"/>
      <c r="AD72" s="10"/>
      <c r="AE72" s="10"/>
      <c r="AF72" s="10"/>
    </row>
    <row r="73" spans="1:32"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0"/>
      <c r="AC73" s="10"/>
      <c r="AD73" s="10"/>
      <c r="AE73" s="10"/>
      <c r="AF73" s="10"/>
    </row>
    <row r="74" spans="1:32"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0"/>
      <c r="AC74" s="10"/>
      <c r="AD74" s="10"/>
      <c r="AE74" s="10"/>
      <c r="AF74" s="10"/>
    </row>
    <row r="75" spans="1:32"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0"/>
      <c r="AC75" s="10"/>
      <c r="AD75" s="10"/>
      <c r="AE75" s="10"/>
      <c r="AF75" s="10"/>
    </row>
    <row r="76" spans="1:32"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0"/>
      <c r="AC76" s="10"/>
      <c r="AD76" s="10"/>
      <c r="AE76" s="10"/>
      <c r="AF76" s="10"/>
    </row>
    <row r="77" spans="1:32"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0"/>
      <c r="AC77" s="10"/>
      <c r="AD77" s="10"/>
      <c r="AE77" s="10"/>
      <c r="AF77" s="10"/>
    </row>
    <row r="78" spans="1:32"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0"/>
      <c r="AC78" s="10"/>
      <c r="AD78" s="10"/>
      <c r="AE78" s="10"/>
      <c r="AF78" s="10"/>
    </row>
    <row r="79" spans="1:32"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0"/>
      <c r="AC79" s="10"/>
      <c r="AD79" s="10"/>
      <c r="AE79" s="10"/>
      <c r="AF79" s="10"/>
    </row>
    <row r="80" spans="1:32"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0"/>
      <c r="AC80" s="10"/>
      <c r="AD80" s="10"/>
      <c r="AE80" s="10"/>
      <c r="AF80" s="10"/>
    </row>
    <row r="81" spans="1:32"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0"/>
      <c r="AC81" s="10"/>
      <c r="AD81" s="10"/>
      <c r="AE81" s="10"/>
      <c r="AF81" s="10"/>
    </row>
    <row r="82" spans="1:32"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0"/>
      <c r="AC82" s="10"/>
      <c r="AD82" s="10"/>
      <c r="AE82" s="10"/>
      <c r="AF82" s="10"/>
    </row>
    <row r="83" spans="1:32"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0"/>
      <c r="AC83" s="10"/>
      <c r="AD83" s="10"/>
      <c r="AE83" s="10"/>
      <c r="AF83" s="10"/>
    </row>
    <row r="84" spans="1:32"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0"/>
      <c r="AC84" s="10"/>
      <c r="AD84" s="10"/>
      <c r="AE84" s="10"/>
      <c r="AF84" s="10"/>
    </row>
    <row r="85" spans="1:32"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0"/>
      <c r="AC85" s="10"/>
      <c r="AD85" s="10"/>
      <c r="AE85" s="10"/>
      <c r="AF85" s="10"/>
    </row>
    <row r="86" spans="1:32"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0"/>
      <c r="AC86" s="10"/>
      <c r="AD86" s="10"/>
      <c r="AE86" s="10"/>
      <c r="AF86" s="10"/>
    </row>
    <row r="87" spans="1:32"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0"/>
      <c r="AC87" s="10"/>
      <c r="AD87" s="10"/>
      <c r="AE87" s="10"/>
      <c r="AF87" s="10"/>
    </row>
    <row r="88" spans="1:32"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0"/>
      <c r="AC88" s="10"/>
      <c r="AD88" s="10"/>
      <c r="AE88" s="10"/>
      <c r="AF88" s="10"/>
    </row>
    <row r="89" spans="1:32"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0"/>
      <c r="AC89" s="10"/>
      <c r="AD89" s="10"/>
      <c r="AE89" s="10"/>
      <c r="AF89" s="10"/>
    </row>
    <row r="90" spans="1:32"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0"/>
      <c r="AC90" s="10"/>
      <c r="AD90" s="10"/>
      <c r="AE90" s="10"/>
      <c r="AF90" s="10"/>
    </row>
    <row r="91" spans="1:32"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0"/>
      <c r="AC91" s="10"/>
      <c r="AD91" s="10"/>
      <c r="AE91" s="10"/>
      <c r="AF91" s="10"/>
    </row>
    <row r="92" spans="1:32"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0"/>
      <c r="AC92" s="10"/>
      <c r="AD92" s="10"/>
      <c r="AE92" s="10"/>
      <c r="AF92" s="10"/>
    </row>
    <row r="93" spans="1:32"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0"/>
      <c r="AC93" s="10"/>
      <c r="AD93" s="10"/>
      <c r="AE93" s="10"/>
      <c r="AF93" s="10"/>
    </row>
    <row r="94" spans="1:32"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0"/>
      <c r="AC94" s="10"/>
      <c r="AD94" s="10"/>
      <c r="AE94" s="10"/>
      <c r="AF94" s="10"/>
    </row>
    <row r="95" spans="1:32"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0"/>
      <c r="AC95" s="10"/>
      <c r="AD95" s="10"/>
      <c r="AE95" s="10"/>
      <c r="AF95" s="10"/>
    </row>
    <row r="96" spans="1:32"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0"/>
      <c r="AC96" s="10"/>
      <c r="AD96" s="10"/>
      <c r="AE96" s="10"/>
      <c r="AF96" s="10"/>
    </row>
    <row r="97" spans="1:32"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0"/>
      <c r="AC97" s="10"/>
      <c r="AD97" s="10"/>
      <c r="AE97" s="10"/>
      <c r="AF97" s="10"/>
    </row>
    <row r="98" spans="1:32"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0"/>
      <c r="AC98" s="10"/>
      <c r="AD98" s="10"/>
      <c r="AE98" s="10"/>
      <c r="AF98" s="10"/>
    </row>
    <row r="99" spans="1:32"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0"/>
      <c r="AC99" s="10"/>
      <c r="AD99" s="10"/>
      <c r="AE99" s="10"/>
      <c r="AF99" s="10"/>
    </row>
    <row r="100" spans="1:32"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0"/>
      <c r="AC100" s="10"/>
      <c r="AD100" s="10"/>
      <c r="AE100" s="10"/>
      <c r="AF100" s="10"/>
    </row>
    <row r="101" spans="1:32"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0"/>
      <c r="AC101" s="10"/>
      <c r="AD101" s="10"/>
      <c r="AE101" s="10"/>
      <c r="AF101" s="10"/>
    </row>
    <row r="102" spans="1:32"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0"/>
      <c r="AC102" s="10"/>
      <c r="AD102" s="10"/>
      <c r="AE102" s="10"/>
      <c r="AF102" s="10"/>
    </row>
    <row r="103" spans="1:32"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0"/>
      <c r="AC103" s="10"/>
      <c r="AD103" s="10"/>
      <c r="AE103" s="10"/>
      <c r="AF103" s="10"/>
    </row>
    <row r="104" spans="1:32"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0"/>
      <c r="AC104" s="10"/>
      <c r="AD104" s="10"/>
      <c r="AE104" s="10"/>
      <c r="AF104" s="10"/>
    </row>
    <row r="105" spans="1:32"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0"/>
      <c r="AC105" s="10"/>
      <c r="AD105" s="10"/>
      <c r="AE105" s="10"/>
      <c r="AF105" s="10"/>
    </row>
    <row r="106" spans="1:32"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0"/>
      <c r="AC106" s="10"/>
      <c r="AD106" s="10"/>
      <c r="AE106" s="10"/>
      <c r="AF106" s="10"/>
    </row>
    <row r="107" spans="1:32"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0"/>
      <c r="AC107" s="10"/>
      <c r="AD107" s="10"/>
      <c r="AE107" s="10"/>
      <c r="AF107" s="10"/>
    </row>
    <row r="108" spans="1:32"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0"/>
      <c r="AC108" s="10"/>
      <c r="AD108" s="10"/>
      <c r="AE108" s="10"/>
      <c r="AF108" s="10"/>
    </row>
    <row r="109" spans="1:32"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0"/>
      <c r="AC109" s="10"/>
      <c r="AD109" s="10"/>
      <c r="AE109" s="10"/>
      <c r="AF109" s="10"/>
    </row>
    <row r="110" spans="1:32"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0"/>
      <c r="AC110" s="10"/>
      <c r="AD110" s="10"/>
      <c r="AE110" s="10"/>
      <c r="AF110" s="10"/>
    </row>
    <row r="111" spans="1:32"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0"/>
      <c r="AC111" s="10"/>
      <c r="AD111" s="10"/>
      <c r="AE111" s="10"/>
      <c r="AF111" s="10"/>
    </row>
    <row r="112" spans="1:32"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0"/>
      <c r="AC112" s="10"/>
      <c r="AD112" s="10"/>
      <c r="AE112" s="10"/>
      <c r="AF112" s="10"/>
    </row>
    <row r="113" spans="1:32"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0"/>
      <c r="AC113" s="10"/>
      <c r="AD113" s="10"/>
      <c r="AE113" s="10"/>
      <c r="AF113" s="10"/>
    </row>
    <row r="114" spans="1:32"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0"/>
      <c r="AC114" s="10"/>
      <c r="AD114" s="10"/>
      <c r="AE114" s="10"/>
      <c r="AF114" s="10"/>
    </row>
    <row r="115" spans="1:32"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0"/>
      <c r="AC115" s="10"/>
      <c r="AD115" s="10"/>
      <c r="AE115" s="10"/>
      <c r="AF115" s="10"/>
    </row>
    <row r="116" spans="1:32"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0"/>
      <c r="AC116" s="10"/>
      <c r="AD116" s="10"/>
      <c r="AE116" s="10"/>
      <c r="AF116" s="10"/>
    </row>
    <row r="117" spans="1:32"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0"/>
      <c r="AC117" s="10"/>
      <c r="AD117" s="10"/>
      <c r="AE117" s="10"/>
      <c r="AF117" s="10"/>
    </row>
    <row r="118" spans="1:32"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0"/>
      <c r="AC118" s="10"/>
      <c r="AD118" s="10"/>
      <c r="AE118" s="10"/>
      <c r="AF118" s="10"/>
    </row>
    <row r="119" spans="1:32"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0"/>
      <c r="AC119" s="10"/>
      <c r="AD119" s="10"/>
      <c r="AE119" s="10"/>
      <c r="AF119" s="10"/>
    </row>
    <row r="120" spans="1:32"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0"/>
      <c r="AC120" s="10"/>
      <c r="AD120" s="10"/>
      <c r="AE120" s="10"/>
      <c r="AF120" s="10"/>
    </row>
    <row r="121" spans="1:32"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0"/>
      <c r="AC121" s="10"/>
      <c r="AD121" s="10"/>
      <c r="AE121" s="10"/>
      <c r="AF121" s="10"/>
    </row>
    <row r="122" spans="1:32"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0"/>
      <c r="AC122" s="10"/>
      <c r="AD122" s="10"/>
      <c r="AE122" s="10"/>
      <c r="AF122" s="10"/>
    </row>
    <row r="123" spans="1:32"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0"/>
      <c r="AC123" s="10"/>
      <c r="AD123" s="10"/>
      <c r="AE123" s="10"/>
      <c r="AF123" s="10"/>
    </row>
    <row r="124" spans="1:32"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0"/>
      <c r="AC124" s="10"/>
      <c r="AD124" s="10"/>
      <c r="AE124" s="10"/>
      <c r="AF124" s="10"/>
    </row>
    <row r="125" spans="1:32"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0"/>
      <c r="AC125" s="10"/>
      <c r="AD125" s="10"/>
      <c r="AE125" s="10"/>
      <c r="AF125" s="10"/>
    </row>
    <row r="126" spans="1:32"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0"/>
      <c r="AC126" s="10"/>
      <c r="AD126" s="10"/>
      <c r="AE126" s="10"/>
      <c r="AF126" s="10"/>
    </row>
    <row r="127" spans="1:32"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0"/>
      <c r="AC127" s="10"/>
      <c r="AD127" s="10"/>
      <c r="AE127" s="10"/>
      <c r="AF127" s="10"/>
    </row>
    <row r="128" spans="1:32"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0"/>
      <c r="AC128" s="10"/>
      <c r="AD128" s="10"/>
      <c r="AE128" s="10"/>
      <c r="AF128" s="10"/>
    </row>
    <row r="129" spans="1:32"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0"/>
      <c r="AC129" s="10"/>
      <c r="AD129" s="10"/>
      <c r="AE129" s="10"/>
      <c r="AF129" s="10"/>
    </row>
    <row r="130" spans="1:32"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0"/>
      <c r="AC130" s="10"/>
      <c r="AD130" s="10"/>
      <c r="AE130" s="10"/>
      <c r="AF130" s="10"/>
    </row>
    <row r="131" spans="1:32"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0"/>
      <c r="AC131" s="10"/>
      <c r="AD131" s="10"/>
      <c r="AE131" s="10"/>
      <c r="AF131" s="10"/>
    </row>
    <row r="132" spans="1:32"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0"/>
      <c r="AC132" s="10"/>
      <c r="AD132" s="10"/>
      <c r="AE132" s="10"/>
      <c r="AF132" s="10"/>
    </row>
    <row r="133" spans="1:32"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0"/>
      <c r="AC133" s="10"/>
      <c r="AD133" s="10"/>
      <c r="AE133" s="10"/>
      <c r="AF133" s="10"/>
    </row>
    <row r="134" spans="1:32"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0"/>
      <c r="AC134" s="10"/>
      <c r="AD134" s="10"/>
      <c r="AE134" s="10"/>
      <c r="AF134" s="10"/>
    </row>
    <row r="135" spans="1:32"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0"/>
      <c r="AC135" s="10"/>
      <c r="AD135" s="10"/>
      <c r="AE135" s="10"/>
      <c r="AF135" s="10"/>
    </row>
    <row r="136" spans="1:32"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0"/>
      <c r="AC136" s="10"/>
      <c r="AD136" s="10"/>
      <c r="AE136" s="10"/>
      <c r="AF136" s="10"/>
    </row>
    <row r="137" spans="1:32"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0"/>
      <c r="AC137" s="10"/>
      <c r="AD137" s="10"/>
      <c r="AE137" s="10"/>
      <c r="AF137" s="10"/>
    </row>
    <row r="138" spans="1:32"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0"/>
      <c r="AC138" s="10"/>
      <c r="AD138" s="10"/>
      <c r="AE138" s="10"/>
      <c r="AF138" s="10"/>
    </row>
    <row r="139" spans="1:32"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0"/>
      <c r="AC139" s="10"/>
      <c r="AD139" s="10"/>
      <c r="AE139" s="10"/>
      <c r="AF139" s="10"/>
    </row>
    <row r="140" spans="1:32"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0"/>
      <c r="AC140" s="10"/>
      <c r="AD140" s="10"/>
      <c r="AE140" s="10"/>
      <c r="AF140" s="10"/>
    </row>
    <row r="141" spans="1:32"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0"/>
      <c r="AC141" s="10"/>
      <c r="AD141" s="10"/>
      <c r="AE141" s="10"/>
      <c r="AF141" s="10"/>
    </row>
    <row r="142" spans="1:32"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0"/>
      <c r="AC142" s="10"/>
      <c r="AD142" s="10"/>
      <c r="AE142" s="10"/>
      <c r="AF142" s="10"/>
    </row>
    <row r="143" spans="1:32"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0"/>
      <c r="AC143" s="10"/>
      <c r="AD143" s="10"/>
      <c r="AE143" s="10"/>
      <c r="AF143" s="10"/>
    </row>
    <row r="144" spans="1:32"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0"/>
      <c r="AC144" s="10"/>
      <c r="AD144" s="10"/>
      <c r="AE144" s="10"/>
      <c r="AF144" s="10"/>
    </row>
    <row r="145" spans="1:32"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0"/>
      <c r="AC145" s="10"/>
      <c r="AD145" s="10"/>
      <c r="AE145" s="10"/>
      <c r="AF145" s="10"/>
    </row>
    <row r="146" spans="1:32"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0"/>
      <c r="AC146" s="10"/>
      <c r="AD146" s="10"/>
      <c r="AE146" s="10"/>
      <c r="AF146" s="10"/>
    </row>
    <row r="147" spans="1:32"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0"/>
      <c r="AC147" s="10"/>
      <c r="AD147" s="10"/>
      <c r="AE147" s="10"/>
      <c r="AF147" s="10"/>
    </row>
    <row r="148" spans="1:32"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0"/>
      <c r="AC148" s="10"/>
      <c r="AD148" s="10"/>
      <c r="AE148" s="10"/>
      <c r="AF148" s="10"/>
    </row>
    <row r="149" spans="1:32"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0"/>
      <c r="AC149" s="10"/>
      <c r="AD149" s="10"/>
      <c r="AE149" s="10"/>
      <c r="AF149" s="10"/>
    </row>
    <row r="150" spans="1:32"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0"/>
      <c r="AC150" s="10"/>
      <c r="AD150" s="10"/>
      <c r="AE150" s="10"/>
      <c r="AF150" s="10"/>
    </row>
    <row r="151" spans="1:32"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0"/>
      <c r="AC151" s="10"/>
      <c r="AD151" s="10"/>
      <c r="AE151" s="10"/>
      <c r="AF151" s="10"/>
    </row>
    <row r="152" spans="1:32"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0"/>
      <c r="AC152" s="10"/>
      <c r="AD152" s="10"/>
      <c r="AE152" s="10"/>
      <c r="AF152" s="10"/>
    </row>
    <row r="153" spans="1:32"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0"/>
      <c r="AC153" s="10"/>
      <c r="AD153" s="10"/>
      <c r="AE153" s="10"/>
      <c r="AF153" s="10"/>
    </row>
    <row r="154" spans="1:32"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0"/>
      <c r="AC154" s="10"/>
      <c r="AD154" s="10"/>
      <c r="AE154" s="10"/>
      <c r="AF154" s="10"/>
    </row>
    <row r="155" spans="1:32"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0"/>
      <c r="AC155" s="10"/>
      <c r="AD155" s="10"/>
      <c r="AE155" s="10"/>
      <c r="AF155" s="10"/>
    </row>
    <row r="156" spans="1:32"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0"/>
      <c r="AC156" s="10"/>
      <c r="AD156" s="10"/>
      <c r="AE156" s="10"/>
      <c r="AF156" s="10"/>
    </row>
    <row r="157" spans="1:32"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0"/>
      <c r="AC157" s="10"/>
      <c r="AD157" s="10"/>
      <c r="AE157" s="10"/>
      <c r="AF157" s="10"/>
    </row>
    <row r="158" spans="1:32"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0"/>
      <c r="AC158" s="10"/>
      <c r="AD158" s="10"/>
      <c r="AE158" s="10"/>
      <c r="AF158" s="10"/>
    </row>
    <row r="159" spans="1:32"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0"/>
      <c r="AC159" s="10"/>
      <c r="AD159" s="10"/>
      <c r="AE159" s="10"/>
      <c r="AF159" s="10"/>
    </row>
    <row r="160" spans="1:32"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0"/>
      <c r="AC160" s="10"/>
      <c r="AD160" s="10"/>
      <c r="AE160" s="10"/>
      <c r="AF160" s="10"/>
    </row>
    <row r="161" spans="1:32"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0"/>
      <c r="AC161" s="10"/>
      <c r="AD161" s="10"/>
      <c r="AE161" s="10"/>
      <c r="AF161" s="10"/>
    </row>
    <row r="162" spans="1:32"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0"/>
      <c r="AC162" s="10"/>
      <c r="AD162" s="10"/>
      <c r="AE162" s="10"/>
      <c r="AF162" s="10"/>
    </row>
    <row r="163" spans="1:32"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0"/>
      <c r="AC163" s="10"/>
      <c r="AD163" s="10"/>
      <c r="AE163" s="10"/>
      <c r="AF163" s="10"/>
    </row>
    <row r="164" spans="1:32"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0"/>
      <c r="AC164" s="10"/>
      <c r="AD164" s="10"/>
      <c r="AE164" s="10"/>
      <c r="AF164" s="10"/>
    </row>
    <row r="165" spans="1:32"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0"/>
      <c r="AC165" s="10"/>
      <c r="AD165" s="10"/>
      <c r="AE165" s="10"/>
      <c r="AF165" s="10"/>
    </row>
    <row r="166" spans="1:32"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0"/>
      <c r="AC166" s="10"/>
      <c r="AD166" s="10"/>
      <c r="AE166" s="10"/>
      <c r="AF166" s="10"/>
    </row>
    <row r="167" spans="1:32"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0"/>
      <c r="AC167" s="10"/>
      <c r="AD167" s="10"/>
      <c r="AE167" s="10"/>
      <c r="AF167" s="10"/>
    </row>
    <row r="168" spans="1:32"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0"/>
      <c r="AC168" s="10"/>
      <c r="AD168" s="10"/>
      <c r="AE168" s="10"/>
      <c r="AF168" s="10"/>
    </row>
    <row r="169" spans="1:32"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0"/>
      <c r="AC169" s="10"/>
      <c r="AD169" s="10"/>
      <c r="AE169" s="10"/>
      <c r="AF169" s="10"/>
    </row>
    <row r="170" spans="1:32"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0"/>
      <c r="AC170" s="10"/>
      <c r="AD170" s="10"/>
      <c r="AE170" s="10"/>
      <c r="AF170" s="10"/>
    </row>
    <row r="171" spans="1:32"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0"/>
      <c r="AC171" s="10"/>
      <c r="AD171" s="10"/>
      <c r="AE171" s="10"/>
      <c r="AF171" s="10"/>
    </row>
    <row r="172" spans="1:32"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0"/>
      <c r="AC172" s="10"/>
      <c r="AD172" s="10"/>
      <c r="AE172" s="10"/>
      <c r="AF172" s="10"/>
    </row>
    <row r="173" spans="1:32"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0"/>
      <c r="AC173" s="10"/>
      <c r="AD173" s="10"/>
      <c r="AE173" s="10"/>
      <c r="AF173" s="10"/>
    </row>
    <row r="174" spans="1:32"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0"/>
      <c r="AC174" s="10"/>
      <c r="AD174" s="10"/>
      <c r="AE174" s="10"/>
      <c r="AF174" s="10"/>
    </row>
    <row r="175" spans="1:32"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0"/>
      <c r="AC175" s="10"/>
      <c r="AD175" s="10"/>
      <c r="AE175" s="10"/>
      <c r="AF175" s="10"/>
    </row>
    <row r="176" spans="1:32"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0"/>
      <c r="AC176" s="10"/>
      <c r="AD176" s="10"/>
      <c r="AE176" s="10"/>
      <c r="AF176" s="10"/>
    </row>
    <row r="177" spans="1:32"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0"/>
      <c r="AC177" s="10"/>
      <c r="AD177" s="10"/>
      <c r="AE177" s="10"/>
      <c r="AF177" s="10"/>
    </row>
    <row r="178" spans="1:32"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0"/>
      <c r="AC178" s="10"/>
      <c r="AD178" s="10"/>
      <c r="AE178" s="10"/>
      <c r="AF178" s="10"/>
    </row>
    <row r="179" spans="1:32"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0"/>
      <c r="AC179" s="10"/>
      <c r="AD179" s="10"/>
      <c r="AE179" s="10"/>
      <c r="AF179" s="10"/>
    </row>
    <row r="180" spans="1:32"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0"/>
      <c r="AC180" s="10"/>
      <c r="AD180" s="10"/>
      <c r="AE180" s="10"/>
      <c r="AF180" s="10"/>
    </row>
    <row r="181" spans="1:32"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0"/>
      <c r="AC181" s="10"/>
      <c r="AD181" s="10"/>
      <c r="AE181" s="10"/>
      <c r="AF181" s="10"/>
    </row>
    <row r="182" spans="1:32"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0"/>
      <c r="AC182" s="10"/>
      <c r="AD182" s="10"/>
      <c r="AE182" s="10"/>
      <c r="AF182" s="10"/>
    </row>
    <row r="183" spans="1:32"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0"/>
      <c r="AC183" s="10"/>
      <c r="AD183" s="10"/>
      <c r="AE183" s="10"/>
      <c r="AF183" s="10"/>
    </row>
    <row r="184" spans="1:32"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0"/>
      <c r="AC184" s="10"/>
      <c r="AD184" s="10"/>
      <c r="AE184" s="10"/>
      <c r="AF184" s="10"/>
    </row>
    <row r="185" spans="1:32"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0"/>
      <c r="AC185" s="10"/>
      <c r="AD185" s="10"/>
      <c r="AE185" s="10"/>
      <c r="AF185" s="10"/>
    </row>
    <row r="186" spans="1:32"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0"/>
      <c r="AC186" s="10"/>
      <c r="AD186" s="10"/>
      <c r="AE186" s="10"/>
      <c r="AF186" s="10"/>
    </row>
    <row r="187" spans="1:32"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0"/>
      <c r="AC187" s="10"/>
      <c r="AD187" s="10"/>
      <c r="AE187" s="10"/>
      <c r="AF187" s="10"/>
    </row>
    <row r="188" spans="1:32"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0"/>
      <c r="AC188" s="10"/>
      <c r="AD188" s="10"/>
      <c r="AE188" s="10"/>
      <c r="AF188" s="10"/>
    </row>
    <row r="189" spans="1:32"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0"/>
      <c r="AC189" s="10"/>
      <c r="AD189" s="10"/>
      <c r="AE189" s="10"/>
      <c r="AF189" s="10"/>
    </row>
    <row r="190" spans="1:32"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0"/>
      <c r="AC190" s="10"/>
      <c r="AD190" s="10"/>
      <c r="AE190" s="10"/>
      <c r="AF190" s="10"/>
    </row>
    <row r="191" spans="1:32"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0"/>
      <c r="AC191" s="10"/>
      <c r="AD191" s="10"/>
      <c r="AE191" s="10"/>
      <c r="AF191" s="10"/>
    </row>
    <row r="192" spans="1:32"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0"/>
      <c r="AC192" s="10"/>
      <c r="AD192" s="10"/>
      <c r="AE192" s="10"/>
      <c r="AF192" s="10"/>
    </row>
    <row r="193" spans="1:32"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0"/>
      <c r="AC193" s="10"/>
      <c r="AD193" s="10"/>
      <c r="AE193" s="10"/>
      <c r="AF193" s="10"/>
    </row>
    <row r="194" spans="1:32"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0"/>
      <c r="AC194" s="10"/>
      <c r="AD194" s="10"/>
      <c r="AE194" s="10"/>
      <c r="AF194" s="10"/>
    </row>
    <row r="195" spans="1:32"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0"/>
      <c r="AC195" s="10"/>
      <c r="AD195" s="10"/>
      <c r="AE195" s="10"/>
      <c r="AF195" s="10"/>
    </row>
    <row r="196" spans="1:32"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0"/>
      <c r="AC196" s="10"/>
      <c r="AD196" s="10"/>
      <c r="AE196" s="10"/>
      <c r="AF196" s="10"/>
    </row>
    <row r="197" spans="1:32"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0"/>
      <c r="AC197" s="10"/>
      <c r="AD197" s="10"/>
      <c r="AE197" s="10"/>
      <c r="AF197" s="10"/>
    </row>
    <row r="198" spans="1:32"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0"/>
      <c r="AC198" s="10"/>
      <c r="AD198" s="10"/>
      <c r="AE198" s="10"/>
      <c r="AF198" s="10"/>
    </row>
    <row r="199" spans="1:32"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0"/>
      <c r="AC199" s="10"/>
      <c r="AD199" s="10"/>
      <c r="AE199" s="10"/>
      <c r="AF199" s="10"/>
    </row>
    <row r="200" spans="1:32"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0"/>
      <c r="AC200" s="10"/>
      <c r="AD200" s="10"/>
      <c r="AE200" s="10"/>
      <c r="AF200" s="10"/>
    </row>
    <row r="201" spans="1:32"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0"/>
      <c r="AC201" s="10"/>
      <c r="AD201" s="10"/>
      <c r="AE201" s="10"/>
      <c r="AF201" s="10"/>
    </row>
    <row r="202" spans="1:32"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0"/>
      <c r="AC202" s="10"/>
      <c r="AD202" s="10"/>
      <c r="AE202" s="10"/>
      <c r="AF202" s="10"/>
    </row>
    <row r="203" spans="1:32"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0"/>
      <c r="AC203" s="10"/>
      <c r="AD203" s="10"/>
      <c r="AE203" s="10"/>
      <c r="AF203" s="10"/>
    </row>
    <row r="204" spans="1:32"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0"/>
      <c r="AC204" s="10"/>
      <c r="AD204" s="10"/>
      <c r="AE204" s="10"/>
      <c r="AF204" s="10"/>
    </row>
    <row r="205" spans="1:32"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0"/>
      <c r="AC205" s="10"/>
      <c r="AD205" s="10"/>
      <c r="AE205" s="10"/>
      <c r="AF205" s="10"/>
    </row>
    <row r="206" spans="1:32"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0"/>
      <c r="AC206" s="10"/>
      <c r="AD206" s="10"/>
      <c r="AE206" s="10"/>
      <c r="AF206" s="10"/>
    </row>
    <row r="207" spans="1:32"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0"/>
      <c r="AC207" s="10"/>
      <c r="AD207" s="10"/>
      <c r="AE207" s="10"/>
      <c r="AF207" s="10"/>
    </row>
    <row r="208" spans="1:32"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0"/>
      <c r="AC208" s="10"/>
      <c r="AD208" s="10"/>
      <c r="AE208" s="10"/>
      <c r="AF208" s="10"/>
    </row>
    <row r="209" spans="1:32"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0"/>
      <c r="AC209" s="10"/>
      <c r="AD209" s="10"/>
      <c r="AE209" s="10"/>
      <c r="AF209" s="10"/>
    </row>
    <row r="210" spans="1:32"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0"/>
      <c r="AC210" s="10"/>
      <c r="AD210" s="10"/>
      <c r="AE210" s="10"/>
      <c r="AF210" s="10"/>
    </row>
    <row r="211" spans="1:32"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0"/>
      <c r="AC211" s="10"/>
      <c r="AD211" s="10"/>
      <c r="AE211" s="10"/>
      <c r="AF211" s="10"/>
    </row>
    <row r="212" spans="1:32"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0"/>
      <c r="AC212" s="10"/>
      <c r="AD212" s="10"/>
      <c r="AE212" s="10"/>
      <c r="AF212" s="10"/>
    </row>
    <row r="213" spans="1:32"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0"/>
      <c r="AC213" s="10"/>
      <c r="AD213" s="10"/>
      <c r="AE213" s="10"/>
      <c r="AF213" s="10"/>
    </row>
    <row r="214" spans="1:32"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0"/>
      <c r="AC214" s="10"/>
      <c r="AD214" s="10"/>
      <c r="AE214" s="10"/>
      <c r="AF214" s="10"/>
    </row>
    <row r="215" spans="1:32"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0"/>
      <c r="AC215" s="10"/>
      <c r="AD215" s="10"/>
      <c r="AE215" s="10"/>
      <c r="AF215" s="10"/>
    </row>
    <row r="216" spans="1:32"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0"/>
      <c r="AC216" s="10"/>
      <c r="AD216" s="10"/>
      <c r="AE216" s="10"/>
      <c r="AF216" s="10"/>
    </row>
    <row r="217" spans="1:32"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0"/>
      <c r="AC217" s="10"/>
      <c r="AD217" s="10"/>
      <c r="AE217" s="10"/>
      <c r="AF217" s="10"/>
    </row>
    <row r="218" spans="1:32"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0"/>
      <c r="AC218" s="10"/>
      <c r="AD218" s="10"/>
      <c r="AE218" s="10"/>
      <c r="AF218" s="10"/>
    </row>
    <row r="219" spans="1:32"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0"/>
      <c r="AC219" s="10"/>
      <c r="AD219" s="10"/>
      <c r="AE219" s="10"/>
      <c r="AF219" s="10"/>
    </row>
    <row r="220" spans="1:32"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0"/>
      <c r="AC220" s="10"/>
      <c r="AD220" s="10"/>
      <c r="AE220" s="10"/>
      <c r="AF220" s="10"/>
    </row>
    <row r="221" spans="1:32"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0"/>
      <c r="AC221" s="10"/>
      <c r="AD221" s="10"/>
      <c r="AE221" s="10"/>
      <c r="AF221" s="10"/>
    </row>
    <row r="222" spans="1:32"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0"/>
      <c r="AC222" s="10"/>
      <c r="AD222" s="10"/>
      <c r="AE222" s="10"/>
      <c r="AF222" s="10"/>
    </row>
    <row r="223" spans="1:32"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0"/>
      <c r="AC223" s="10"/>
      <c r="AD223" s="10"/>
      <c r="AE223" s="10"/>
      <c r="AF223" s="10"/>
    </row>
    <row r="224" spans="1:32"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0"/>
      <c r="AC224" s="10"/>
      <c r="AD224" s="10"/>
      <c r="AE224" s="10"/>
      <c r="AF224" s="10"/>
    </row>
    <row r="225" spans="1:32"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0"/>
      <c r="AC225" s="10"/>
      <c r="AD225" s="10"/>
      <c r="AE225" s="10"/>
      <c r="AF225" s="10"/>
    </row>
    <row r="226" spans="1:32"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0"/>
      <c r="AC226" s="10"/>
      <c r="AD226" s="10"/>
      <c r="AE226" s="10"/>
      <c r="AF226" s="10"/>
    </row>
    <row r="227" spans="1:32"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0"/>
      <c r="AC227" s="10"/>
      <c r="AD227" s="10"/>
      <c r="AE227" s="10"/>
      <c r="AF227" s="10"/>
    </row>
    <row r="228" spans="1:32"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0"/>
      <c r="AC228" s="10"/>
      <c r="AD228" s="10"/>
      <c r="AE228" s="10"/>
      <c r="AF228" s="10"/>
    </row>
    <row r="229" spans="1:32"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0"/>
      <c r="AC229" s="10"/>
      <c r="AD229" s="10"/>
      <c r="AE229" s="10"/>
      <c r="AF229" s="10"/>
    </row>
    <row r="230" spans="1:32"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0"/>
      <c r="AC230" s="10"/>
      <c r="AD230" s="10"/>
      <c r="AE230" s="10"/>
      <c r="AF230" s="10"/>
    </row>
    <row r="231" spans="1:32"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0"/>
      <c r="AC231" s="10"/>
      <c r="AD231" s="10"/>
      <c r="AE231" s="10"/>
      <c r="AF231" s="10"/>
    </row>
    <row r="232" spans="1:32"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0"/>
      <c r="AC232" s="10"/>
      <c r="AD232" s="10"/>
      <c r="AE232" s="10"/>
      <c r="AF232" s="10"/>
    </row>
    <row r="233" spans="1:32"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0"/>
      <c r="AC233" s="10"/>
      <c r="AD233" s="10"/>
      <c r="AE233" s="10"/>
      <c r="AF233" s="10"/>
    </row>
    <row r="234" spans="1:32"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0"/>
      <c r="AC234" s="10"/>
      <c r="AD234" s="10"/>
      <c r="AE234" s="10"/>
      <c r="AF234" s="10"/>
    </row>
    <row r="235" spans="1:32"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0"/>
      <c r="AC235" s="10"/>
      <c r="AD235" s="10"/>
      <c r="AE235" s="10"/>
      <c r="AF235" s="10"/>
    </row>
    <row r="236" spans="1:32"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0"/>
      <c r="AC236" s="10"/>
      <c r="AD236" s="10"/>
      <c r="AE236" s="10"/>
      <c r="AF236" s="10"/>
    </row>
    <row r="237" spans="1:32"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0"/>
      <c r="AC237" s="10"/>
      <c r="AD237" s="10"/>
      <c r="AE237" s="10"/>
      <c r="AF237" s="10"/>
    </row>
    <row r="238" spans="1:32"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0"/>
      <c r="AC238" s="10"/>
      <c r="AD238" s="10"/>
      <c r="AE238" s="10"/>
      <c r="AF238" s="10"/>
    </row>
    <row r="239" spans="1:32"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0"/>
      <c r="AC239" s="10"/>
      <c r="AD239" s="10"/>
      <c r="AE239" s="10"/>
      <c r="AF239" s="10"/>
    </row>
    <row r="240" spans="1:32"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0"/>
      <c r="AC240" s="10"/>
      <c r="AD240" s="10"/>
      <c r="AE240" s="10"/>
      <c r="AF240" s="10"/>
    </row>
    <row r="241" spans="1:32"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0"/>
      <c r="AC241" s="10"/>
      <c r="AD241" s="10"/>
      <c r="AE241" s="10"/>
      <c r="AF241" s="10"/>
    </row>
    <row r="242" spans="1:32"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0"/>
      <c r="AC242" s="10"/>
      <c r="AD242" s="10"/>
      <c r="AE242" s="10"/>
      <c r="AF242" s="10"/>
    </row>
    <row r="243" spans="1:32"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0"/>
      <c r="AC243" s="10"/>
      <c r="AD243" s="10"/>
      <c r="AE243" s="10"/>
      <c r="AF243" s="10"/>
    </row>
    <row r="244" spans="1:32"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0"/>
      <c r="AC244" s="10"/>
      <c r="AD244" s="10"/>
      <c r="AE244" s="10"/>
      <c r="AF244" s="10"/>
    </row>
    <row r="245" spans="1:32"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0"/>
      <c r="AC245" s="10"/>
      <c r="AD245" s="10"/>
      <c r="AE245" s="10"/>
      <c r="AF245" s="10"/>
    </row>
    <row r="246" spans="1:32"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0"/>
      <c r="AC246" s="10"/>
      <c r="AD246" s="10"/>
      <c r="AE246" s="10"/>
      <c r="AF246" s="10"/>
    </row>
    <row r="247" spans="1:32"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0"/>
      <c r="AC247" s="10"/>
      <c r="AD247" s="10"/>
      <c r="AE247" s="10"/>
      <c r="AF247" s="10"/>
    </row>
    <row r="248" spans="1:32"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0"/>
      <c r="AC248" s="10"/>
      <c r="AD248" s="10"/>
      <c r="AE248" s="10"/>
      <c r="AF248" s="10"/>
    </row>
    <row r="249" spans="1:32"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0"/>
      <c r="AC249" s="10"/>
      <c r="AD249" s="10"/>
      <c r="AE249" s="10"/>
      <c r="AF249" s="10"/>
    </row>
    <row r="250" spans="1:32"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0"/>
      <c r="AC250" s="10"/>
      <c r="AD250" s="10"/>
      <c r="AE250" s="10"/>
      <c r="AF250" s="10"/>
    </row>
    <row r="251" spans="1:32"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0"/>
      <c r="AC251" s="10"/>
      <c r="AD251" s="10"/>
      <c r="AE251" s="10"/>
      <c r="AF251" s="10"/>
    </row>
    <row r="252" spans="1:32"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0"/>
      <c r="AC252" s="10"/>
      <c r="AD252" s="10"/>
      <c r="AE252" s="10"/>
      <c r="AF252" s="10"/>
    </row>
    <row r="253" spans="1:32"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0"/>
      <c r="AC253" s="10"/>
      <c r="AD253" s="10"/>
      <c r="AE253" s="10"/>
      <c r="AF253" s="10"/>
    </row>
    <row r="254" spans="1:32"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0"/>
      <c r="AC254" s="10"/>
      <c r="AD254" s="10"/>
      <c r="AE254" s="10"/>
      <c r="AF254" s="10"/>
    </row>
    <row r="255" spans="1:32"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0"/>
      <c r="AC255" s="10"/>
      <c r="AD255" s="10"/>
      <c r="AE255" s="10"/>
      <c r="AF255" s="10"/>
    </row>
    <row r="256" spans="1:32"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0"/>
      <c r="AC256" s="10"/>
      <c r="AD256" s="10"/>
      <c r="AE256" s="10"/>
      <c r="AF256" s="10"/>
    </row>
    <row r="257" spans="1:32"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0"/>
      <c r="AC257" s="10"/>
      <c r="AD257" s="10"/>
      <c r="AE257" s="10"/>
      <c r="AF257" s="10"/>
    </row>
    <row r="258" spans="1:32"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0"/>
      <c r="AC258" s="10"/>
      <c r="AD258" s="10"/>
      <c r="AE258" s="10"/>
      <c r="AF258" s="10"/>
    </row>
    <row r="259" spans="1:32"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0"/>
      <c r="AC259" s="10"/>
      <c r="AD259" s="10"/>
      <c r="AE259" s="10"/>
      <c r="AF259" s="10"/>
    </row>
    <row r="260" spans="1:32"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0"/>
      <c r="AC260" s="10"/>
      <c r="AD260" s="10"/>
      <c r="AE260" s="10"/>
      <c r="AF260" s="10"/>
    </row>
    <row r="261" spans="1:32"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0"/>
      <c r="AC261" s="10"/>
      <c r="AD261" s="10"/>
      <c r="AE261" s="10"/>
      <c r="AF261" s="10"/>
    </row>
    <row r="262" spans="1:32"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0"/>
      <c r="AC262" s="10"/>
      <c r="AD262" s="10"/>
      <c r="AE262" s="10"/>
      <c r="AF262" s="10"/>
    </row>
    <row r="263" spans="1:32"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0"/>
      <c r="AC263" s="10"/>
      <c r="AD263" s="10"/>
      <c r="AE263" s="10"/>
      <c r="AF263" s="10"/>
    </row>
    <row r="264" spans="1:32"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0"/>
      <c r="AC264" s="10"/>
      <c r="AD264" s="10"/>
      <c r="AE264" s="10"/>
      <c r="AF264" s="10"/>
    </row>
    <row r="265" spans="1:32"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0"/>
      <c r="AC265" s="10"/>
      <c r="AD265" s="10"/>
      <c r="AE265" s="10"/>
      <c r="AF265" s="10"/>
    </row>
    <row r="266" spans="1:32"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0"/>
      <c r="AC266" s="10"/>
      <c r="AD266" s="10"/>
      <c r="AE266" s="10"/>
      <c r="AF266" s="10"/>
    </row>
    <row r="267" spans="1:32"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0"/>
      <c r="AC267" s="10"/>
      <c r="AD267" s="10"/>
      <c r="AE267" s="10"/>
      <c r="AF267" s="10"/>
    </row>
    <row r="268" spans="1:32"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0"/>
      <c r="AC268" s="10"/>
      <c r="AD268" s="10"/>
      <c r="AE268" s="10"/>
      <c r="AF268" s="10"/>
    </row>
    <row r="269" spans="1:32"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0"/>
      <c r="AC269" s="10"/>
      <c r="AD269" s="10"/>
      <c r="AE269" s="10"/>
      <c r="AF269" s="10"/>
    </row>
    <row r="270" spans="1:32"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0"/>
      <c r="AC270" s="10"/>
      <c r="AD270" s="10"/>
      <c r="AE270" s="10"/>
      <c r="AF270" s="10"/>
    </row>
    <row r="271" spans="1:32"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0"/>
      <c r="AC271" s="10"/>
      <c r="AD271" s="10"/>
      <c r="AE271" s="10"/>
      <c r="AF271" s="10"/>
    </row>
    <row r="272" spans="1:32"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0"/>
      <c r="AC272" s="10"/>
      <c r="AD272" s="10"/>
      <c r="AE272" s="10"/>
      <c r="AF272" s="10"/>
    </row>
    <row r="273" spans="1:32"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0"/>
      <c r="AC273" s="10"/>
      <c r="AD273" s="10"/>
      <c r="AE273" s="10"/>
      <c r="AF273" s="10"/>
    </row>
    <row r="274" spans="1:32"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0"/>
      <c r="AC274" s="10"/>
      <c r="AD274" s="10"/>
      <c r="AE274" s="10"/>
      <c r="AF274" s="10"/>
    </row>
    <row r="275" spans="1:32"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0"/>
      <c r="AC275" s="10"/>
      <c r="AD275" s="10"/>
      <c r="AE275" s="10"/>
      <c r="AF275" s="10"/>
    </row>
    <row r="276" spans="1:32"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0"/>
      <c r="AC276" s="10"/>
      <c r="AD276" s="10"/>
      <c r="AE276" s="10"/>
      <c r="AF276" s="10"/>
    </row>
    <row r="277" spans="1:32"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0"/>
      <c r="AC277" s="10"/>
      <c r="AD277" s="10"/>
      <c r="AE277" s="10"/>
      <c r="AF277" s="10"/>
    </row>
    <row r="278" spans="1:32"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0"/>
      <c r="AC278" s="10"/>
      <c r="AD278" s="10"/>
      <c r="AE278" s="10"/>
      <c r="AF278" s="10"/>
    </row>
    <row r="279" spans="1:32"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0"/>
      <c r="AC279" s="10"/>
      <c r="AD279" s="10"/>
      <c r="AE279" s="10"/>
      <c r="AF279" s="10"/>
    </row>
    <row r="280" spans="1:32"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0"/>
      <c r="AC280" s="10"/>
      <c r="AD280" s="10"/>
      <c r="AE280" s="10"/>
      <c r="AF280" s="10"/>
    </row>
    <row r="281" spans="1:32"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0"/>
      <c r="AC281" s="10"/>
      <c r="AD281" s="10"/>
      <c r="AE281" s="10"/>
      <c r="AF281" s="10"/>
    </row>
    <row r="282" spans="1:32"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0"/>
      <c r="AC282" s="10"/>
      <c r="AD282" s="10"/>
      <c r="AE282" s="10"/>
      <c r="AF282" s="10"/>
    </row>
    <row r="283" spans="1:32"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0"/>
      <c r="AC283" s="10"/>
      <c r="AD283" s="10"/>
      <c r="AE283" s="10"/>
      <c r="AF283" s="10"/>
    </row>
    <row r="284" spans="1:32"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0"/>
      <c r="AC284" s="10"/>
      <c r="AD284" s="10"/>
      <c r="AE284" s="10"/>
      <c r="AF284" s="10"/>
    </row>
    <row r="285" spans="1:32"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0"/>
      <c r="AC285" s="10"/>
      <c r="AD285" s="10"/>
      <c r="AE285" s="10"/>
      <c r="AF285" s="10"/>
    </row>
    <row r="286" spans="1:32"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0"/>
      <c r="AC286" s="10"/>
      <c r="AD286" s="10"/>
      <c r="AE286" s="10"/>
      <c r="AF286" s="10"/>
    </row>
    <row r="287" spans="1:32"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0"/>
      <c r="AC287" s="10"/>
      <c r="AD287" s="10"/>
      <c r="AE287" s="10"/>
      <c r="AF287" s="10"/>
    </row>
    <row r="288" spans="1:32"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0"/>
      <c r="AC288" s="10"/>
      <c r="AD288" s="10"/>
      <c r="AE288" s="10"/>
      <c r="AF288" s="10"/>
    </row>
    <row r="289" spans="1:32"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0"/>
      <c r="AC289" s="10"/>
      <c r="AD289" s="10"/>
      <c r="AE289" s="10"/>
      <c r="AF289" s="10"/>
    </row>
    <row r="290" spans="1:32"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0"/>
      <c r="AC290" s="10"/>
      <c r="AD290" s="10"/>
      <c r="AE290" s="10"/>
      <c r="AF290" s="10"/>
    </row>
    <row r="291" spans="1:32"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0"/>
      <c r="AC291" s="10"/>
      <c r="AD291" s="10"/>
      <c r="AE291" s="10"/>
      <c r="AF291" s="10"/>
    </row>
    <row r="292" spans="1:32"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0"/>
      <c r="AC292" s="10"/>
      <c r="AD292" s="10"/>
      <c r="AE292" s="10"/>
      <c r="AF292" s="10"/>
    </row>
    <row r="293" spans="1:32"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0"/>
      <c r="AC293" s="10"/>
      <c r="AD293" s="10"/>
      <c r="AE293" s="10"/>
      <c r="AF293" s="10"/>
    </row>
    <row r="294" spans="1:32"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0"/>
      <c r="AC294" s="10"/>
      <c r="AD294" s="10"/>
      <c r="AE294" s="10"/>
      <c r="AF294" s="10"/>
    </row>
    <row r="295" spans="1:32"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0"/>
      <c r="AC295" s="10"/>
      <c r="AD295" s="10"/>
      <c r="AE295" s="10"/>
      <c r="AF295" s="10"/>
    </row>
    <row r="296" spans="1:32"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0"/>
      <c r="AC296" s="10"/>
      <c r="AD296" s="10"/>
      <c r="AE296" s="10"/>
      <c r="AF296" s="10"/>
    </row>
    <row r="297" spans="1:32"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0"/>
      <c r="AC297" s="10"/>
      <c r="AD297" s="10"/>
      <c r="AE297" s="10"/>
      <c r="AF297" s="10"/>
    </row>
    <row r="298" spans="1:32"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0"/>
      <c r="AC298" s="10"/>
      <c r="AD298" s="10"/>
      <c r="AE298" s="10"/>
      <c r="AF298" s="10"/>
    </row>
    <row r="299" spans="1:32"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0"/>
      <c r="AC299" s="10"/>
      <c r="AD299" s="10"/>
      <c r="AE299" s="10"/>
      <c r="AF299" s="10"/>
    </row>
    <row r="300" spans="1:32"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0"/>
      <c r="AC300" s="10"/>
      <c r="AD300" s="10"/>
      <c r="AE300" s="10"/>
      <c r="AF300" s="10"/>
    </row>
    <row r="301" spans="1:32"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0"/>
      <c r="AC301" s="10"/>
      <c r="AD301" s="10"/>
      <c r="AE301" s="10"/>
      <c r="AF301" s="10"/>
    </row>
    <row r="302" spans="1:32"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0"/>
      <c r="AC302" s="10"/>
      <c r="AD302" s="10"/>
      <c r="AE302" s="10"/>
      <c r="AF302" s="10"/>
    </row>
    <row r="303" spans="1:32"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0"/>
      <c r="AC303" s="10"/>
      <c r="AD303" s="10"/>
      <c r="AE303" s="10"/>
      <c r="AF303" s="10"/>
    </row>
    <row r="304" spans="1:32"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0"/>
      <c r="AC304" s="10"/>
      <c r="AD304" s="10"/>
      <c r="AE304" s="10"/>
      <c r="AF304" s="10"/>
    </row>
    <row r="305" spans="1:32"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0"/>
      <c r="AC305" s="10"/>
      <c r="AD305" s="10"/>
      <c r="AE305" s="10"/>
      <c r="AF305" s="10"/>
    </row>
    <row r="306" spans="1:32"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0"/>
      <c r="AC306" s="10"/>
      <c r="AD306" s="10"/>
      <c r="AE306" s="10"/>
      <c r="AF306" s="10"/>
    </row>
    <row r="307" spans="1:32"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0"/>
      <c r="AC307" s="10"/>
      <c r="AD307" s="10"/>
      <c r="AE307" s="10"/>
      <c r="AF307" s="10"/>
    </row>
    <row r="308" spans="1:32"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0"/>
      <c r="AC308" s="10"/>
      <c r="AD308" s="10"/>
      <c r="AE308" s="10"/>
      <c r="AF308" s="10"/>
    </row>
    <row r="309" spans="1:32"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0"/>
      <c r="AC309" s="10"/>
      <c r="AD309" s="10"/>
      <c r="AE309" s="10"/>
      <c r="AF309" s="10"/>
    </row>
    <row r="310" spans="1:32"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0"/>
      <c r="AC310" s="10"/>
      <c r="AD310" s="10"/>
      <c r="AE310" s="10"/>
      <c r="AF310" s="10"/>
    </row>
    <row r="311" spans="1:32"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0"/>
      <c r="AC311" s="10"/>
      <c r="AD311" s="10"/>
      <c r="AE311" s="10"/>
      <c r="AF311" s="10"/>
    </row>
    <row r="312" spans="1:32"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0"/>
      <c r="AC312" s="10"/>
      <c r="AD312" s="10"/>
      <c r="AE312" s="10"/>
      <c r="AF312" s="10"/>
    </row>
    <row r="313" spans="1:32"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0"/>
      <c r="AC313" s="10"/>
      <c r="AD313" s="10"/>
      <c r="AE313" s="10"/>
      <c r="AF313" s="10"/>
    </row>
    <row r="314" spans="1:32"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0"/>
      <c r="AC314" s="10"/>
      <c r="AD314" s="10"/>
      <c r="AE314" s="10"/>
      <c r="AF314" s="10"/>
    </row>
    <row r="315" spans="1:32"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0"/>
      <c r="AC315" s="10"/>
      <c r="AD315" s="10"/>
      <c r="AE315" s="10"/>
      <c r="AF315" s="10"/>
    </row>
    <row r="316" spans="1:32"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0"/>
      <c r="AC316" s="10"/>
      <c r="AD316" s="10"/>
      <c r="AE316" s="10"/>
      <c r="AF316" s="10"/>
    </row>
    <row r="317" spans="1:32"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0"/>
      <c r="AC317" s="10"/>
      <c r="AD317" s="10"/>
      <c r="AE317" s="10"/>
      <c r="AF317" s="10"/>
    </row>
    <row r="318" spans="1:32"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0"/>
      <c r="AC318" s="10"/>
      <c r="AD318" s="10"/>
      <c r="AE318" s="10"/>
      <c r="AF318" s="10"/>
    </row>
    <row r="319" spans="1:32"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0"/>
      <c r="AC319" s="10"/>
      <c r="AD319" s="10"/>
      <c r="AE319" s="10"/>
      <c r="AF319" s="10"/>
    </row>
    <row r="320" spans="1:32"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0"/>
      <c r="AC320" s="10"/>
      <c r="AD320" s="10"/>
      <c r="AE320" s="10"/>
      <c r="AF320" s="10"/>
    </row>
    <row r="321" spans="1:32"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0"/>
      <c r="AC321" s="10"/>
      <c r="AD321" s="10"/>
      <c r="AE321" s="10"/>
      <c r="AF321" s="10"/>
    </row>
    <row r="322" spans="1:32"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0"/>
      <c r="AC322" s="10"/>
      <c r="AD322" s="10"/>
      <c r="AE322" s="10"/>
      <c r="AF322" s="10"/>
    </row>
    <row r="323" spans="1:32"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0"/>
      <c r="AC323" s="10"/>
      <c r="AD323" s="10"/>
      <c r="AE323" s="10"/>
      <c r="AF323" s="10"/>
    </row>
    <row r="324" spans="1:32"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0"/>
      <c r="AC324" s="10"/>
      <c r="AD324" s="10"/>
      <c r="AE324" s="10"/>
      <c r="AF324" s="10"/>
    </row>
    <row r="325" spans="1:32"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0"/>
      <c r="AC325" s="10"/>
      <c r="AD325" s="10"/>
      <c r="AE325" s="10"/>
      <c r="AF325" s="10"/>
    </row>
    <row r="326" spans="1:32"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0"/>
      <c r="AC326" s="10"/>
      <c r="AD326" s="10"/>
      <c r="AE326" s="10"/>
      <c r="AF326" s="10"/>
    </row>
    <row r="327" spans="1:32"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0"/>
      <c r="AC327" s="10"/>
      <c r="AD327" s="10"/>
      <c r="AE327" s="10"/>
      <c r="AF327" s="10"/>
    </row>
    <row r="328" spans="1:32"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0"/>
      <c r="AC328" s="10"/>
      <c r="AD328" s="10"/>
      <c r="AE328" s="10"/>
      <c r="AF328" s="10"/>
    </row>
    <row r="329" spans="1:32"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0"/>
      <c r="AC329" s="10"/>
      <c r="AD329" s="10"/>
      <c r="AE329" s="10"/>
      <c r="AF329" s="10"/>
    </row>
    <row r="330" spans="1:32"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0"/>
      <c r="AC330" s="10"/>
      <c r="AD330" s="10"/>
      <c r="AE330" s="10"/>
      <c r="AF330" s="10"/>
    </row>
    <row r="331" spans="1:32"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0"/>
      <c r="AC331" s="10"/>
      <c r="AD331" s="10"/>
      <c r="AE331" s="10"/>
      <c r="AF331" s="10"/>
    </row>
    <row r="332" spans="1:32"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0"/>
      <c r="AC332" s="10"/>
      <c r="AD332" s="10"/>
      <c r="AE332" s="10"/>
      <c r="AF332" s="10"/>
    </row>
    <row r="333" spans="1:32"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0"/>
      <c r="AC333" s="10"/>
      <c r="AD333" s="10"/>
      <c r="AE333" s="10"/>
      <c r="AF333" s="10"/>
    </row>
    <row r="334" spans="1:32"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0"/>
      <c r="AC334" s="10"/>
      <c r="AD334" s="10"/>
      <c r="AE334" s="10"/>
      <c r="AF334" s="10"/>
    </row>
    <row r="335" spans="1:32"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0"/>
      <c r="AC335" s="10"/>
      <c r="AD335" s="10"/>
      <c r="AE335" s="10"/>
      <c r="AF335" s="10"/>
    </row>
    <row r="336" spans="1:32"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0"/>
      <c r="AC336" s="10"/>
      <c r="AD336" s="10"/>
      <c r="AE336" s="10"/>
      <c r="AF336" s="10"/>
    </row>
    <row r="337" spans="1:32"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0"/>
      <c r="AC337" s="10"/>
      <c r="AD337" s="10"/>
      <c r="AE337" s="10"/>
      <c r="AF337" s="10"/>
    </row>
    <row r="338" spans="1:32"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0"/>
      <c r="AC338" s="10"/>
      <c r="AD338" s="10"/>
      <c r="AE338" s="10"/>
      <c r="AF338" s="10"/>
    </row>
    <row r="339" spans="1:32"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0"/>
      <c r="AC339" s="10"/>
      <c r="AD339" s="10"/>
      <c r="AE339" s="10"/>
      <c r="AF339" s="10"/>
    </row>
    <row r="340" spans="1:32"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0"/>
      <c r="AC340" s="10"/>
      <c r="AD340" s="10"/>
      <c r="AE340" s="10"/>
      <c r="AF340" s="10"/>
    </row>
    <row r="341" spans="1:32"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0"/>
      <c r="AC341" s="10"/>
      <c r="AD341" s="10"/>
      <c r="AE341" s="10"/>
      <c r="AF341" s="10"/>
    </row>
    <row r="342" spans="1:32"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0"/>
      <c r="AC342" s="10"/>
      <c r="AD342" s="10"/>
      <c r="AE342" s="10"/>
      <c r="AF342" s="10"/>
    </row>
    <row r="343" spans="1:32"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0"/>
      <c r="AC343" s="10"/>
      <c r="AD343" s="10"/>
      <c r="AE343" s="10"/>
      <c r="AF343" s="10"/>
    </row>
    <row r="344" spans="1:32"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0"/>
      <c r="AC344" s="10"/>
      <c r="AD344" s="10"/>
      <c r="AE344" s="10"/>
      <c r="AF344" s="10"/>
    </row>
    <row r="345" spans="1:32"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0"/>
      <c r="AC345" s="10"/>
      <c r="AD345" s="10"/>
      <c r="AE345" s="10"/>
      <c r="AF345" s="10"/>
    </row>
    <row r="346" spans="1:32"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0"/>
      <c r="AC346" s="10"/>
      <c r="AD346" s="10"/>
      <c r="AE346" s="10"/>
      <c r="AF346" s="10"/>
    </row>
    <row r="347" spans="1:32"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0"/>
      <c r="AC347" s="10"/>
      <c r="AD347" s="10"/>
      <c r="AE347" s="10"/>
      <c r="AF347" s="10"/>
    </row>
    <row r="348" spans="1:32"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0"/>
      <c r="AC348" s="10"/>
      <c r="AD348" s="10"/>
      <c r="AE348" s="10"/>
      <c r="AF348" s="10"/>
    </row>
    <row r="349" spans="1:32"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0"/>
      <c r="AC349" s="10"/>
      <c r="AD349" s="10"/>
      <c r="AE349" s="10"/>
      <c r="AF349" s="10"/>
    </row>
    <row r="350" spans="1:32"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0"/>
      <c r="AC350" s="10"/>
      <c r="AD350" s="10"/>
      <c r="AE350" s="10"/>
      <c r="AF350" s="10"/>
    </row>
    <row r="351" spans="1:32"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0"/>
      <c r="AC351" s="10"/>
      <c r="AD351" s="10"/>
      <c r="AE351" s="10"/>
      <c r="AF351" s="10"/>
    </row>
    <row r="352" spans="1:32"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0"/>
      <c r="AC352" s="10"/>
      <c r="AD352" s="10"/>
      <c r="AE352" s="10"/>
      <c r="AF352" s="10"/>
    </row>
    <row r="353" spans="1:32"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0"/>
      <c r="AC353" s="10"/>
      <c r="AD353" s="10"/>
      <c r="AE353" s="10"/>
      <c r="AF353" s="10"/>
    </row>
    <row r="354" spans="1:32"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0"/>
      <c r="AC354" s="10"/>
      <c r="AD354" s="10"/>
      <c r="AE354" s="10"/>
      <c r="AF354" s="10"/>
    </row>
    <row r="355" spans="1:32"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0"/>
      <c r="AC355" s="10"/>
      <c r="AD355" s="10"/>
      <c r="AE355" s="10"/>
      <c r="AF355" s="10"/>
    </row>
    <row r="356" spans="1:32"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0"/>
      <c r="AC356" s="10"/>
      <c r="AD356" s="10"/>
      <c r="AE356" s="10"/>
      <c r="AF356" s="10"/>
    </row>
    <row r="357" spans="1:32"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0"/>
      <c r="AC357" s="10"/>
      <c r="AD357" s="10"/>
      <c r="AE357" s="10"/>
      <c r="AF357" s="10"/>
    </row>
    <row r="358" spans="1:32"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0"/>
      <c r="AC358" s="10"/>
      <c r="AD358" s="10"/>
      <c r="AE358" s="10"/>
      <c r="AF358" s="10"/>
    </row>
    <row r="359" spans="1:32"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0"/>
      <c r="AC359" s="10"/>
      <c r="AD359" s="10"/>
      <c r="AE359" s="10"/>
      <c r="AF359" s="10"/>
    </row>
    <row r="360" spans="1:32"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0"/>
      <c r="AC360" s="10"/>
      <c r="AD360" s="10"/>
      <c r="AE360" s="10"/>
      <c r="AF360" s="10"/>
    </row>
    <row r="361" spans="1:32"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0"/>
      <c r="AC361" s="10"/>
      <c r="AD361" s="10"/>
      <c r="AE361" s="10"/>
      <c r="AF361" s="10"/>
    </row>
    <row r="362" spans="1:32"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0"/>
      <c r="AC362" s="10"/>
      <c r="AD362" s="10"/>
      <c r="AE362" s="10"/>
      <c r="AF362" s="10"/>
    </row>
    <row r="363" spans="1:32"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0"/>
      <c r="AC363" s="10"/>
      <c r="AD363" s="10"/>
      <c r="AE363" s="10"/>
      <c r="AF363" s="10"/>
    </row>
    <row r="364" spans="1:32"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0"/>
      <c r="AC364" s="10"/>
      <c r="AD364" s="10"/>
      <c r="AE364" s="10"/>
      <c r="AF364" s="10"/>
    </row>
    <row r="365" spans="1:32"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0"/>
      <c r="AC365" s="10"/>
      <c r="AD365" s="10"/>
      <c r="AE365" s="10"/>
      <c r="AF365" s="10"/>
    </row>
    <row r="366" spans="1:32"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0"/>
      <c r="AC366" s="10"/>
      <c r="AD366" s="10"/>
      <c r="AE366" s="10"/>
      <c r="AF366" s="10"/>
    </row>
    <row r="367" spans="1:32"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0"/>
      <c r="AC367" s="10"/>
      <c r="AD367" s="10"/>
      <c r="AE367" s="10"/>
      <c r="AF367" s="10"/>
    </row>
    <row r="368" spans="1:32"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0"/>
      <c r="AC368" s="10"/>
      <c r="AD368" s="10"/>
      <c r="AE368" s="10"/>
      <c r="AF368" s="10"/>
    </row>
    <row r="369" spans="1:32"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0"/>
      <c r="AC369" s="10"/>
      <c r="AD369" s="10"/>
      <c r="AE369" s="10"/>
      <c r="AF369" s="10"/>
    </row>
    <row r="370" spans="1:32"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0"/>
      <c r="AC370" s="10"/>
      <c r="AD370" s="10"/>
      <c r="AE370" s="10"/>
      <c r="AF370" s="10"/>
    </row>
    <row r="371" spans="1:32"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0"/>
      <c r="AC371" s="10"/>
      <c r="AD371" s="10"/>
      <c r="AE371" s="10"/>
      <c r="AF371" s="10"/>
    </row>
    <row r="372" spans="1:32"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0"/>
      <c r="AC372" s="10"/>
      <c r="AD372" s="10"/>
      <c r="AE372" s="10"/>
      <c r="AF372" s="10"/>
    </row>
    <row r="373" spans="1:32"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0"/>
      <c r="AC373" s="10"/>
      <c r="AD373" s="10"/>
      <c r="AE373" s="10"/>
      <c r="AF373" s="10"/>
    </row>
    <row r="374" spans="1:32"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0"/>
      <c r="AC374" s="10"/>
      <c r="AD374" s="10"/>
      <c r="AE374" s="10"/>
      <c r="AF374" s="10"/>
    </row>
    <row r="375" spans="1:32"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0"/>
      <c r="AC375" s="10"/>
      <c r="AD375" s="10"/>
      <c r="AE375" s="10"/>
      <c r="AF375" s="10"/>
    </row>
    <row r="376" spans="1:32"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0"/>
      <c r="AC376" s="10"/>
      <c r="AD376" s="10"/>
      <c r="AE376" s="10"/>
      <c r="AF376" s="10"/>
    </row>
    <row r="377" spans="1:32"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0"/>
      <c r="AC377" s="10"/>
      <c r="AD377" s="10"/>
      <c r="AE377" s="10"/>
      <c r="AF377" s="10"/>
    </row>
    <row r="378" spans="1:32"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0"/>
      <c r="AC378" s="10"/>
      <c r="AD378" s="10"/>
      <c r="AE378" s="10"/>
      <c r="AF378" s="10"/>
    </row>
    <row r="379" spans="1:32"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0"/>
      <c r="AC379" s="10"/>
      <c r="AD379" s="10"/>
      <c r="AE379" s="10"/>
      <c r="AF379" s="10"/>
    </row>
    <row r="380" spans="1:32"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0"/>
      <c r="AC380" s="10"/>
      <c r="AD380" s="10"/>
      <c r="AE380" s="10"/>
      <c r="AF380" s="10"/>
    </row>
    <row r="381" spans="1:32"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0"/>
      <c r="AC381" s="10"/>
      <c r="AD381" s="10"/>
      <c r="AE381" s="10"/>
      <c r="AF381" s="10"/>
    </row>
    <row r="382" spans="1:32"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0"/>
      <c r="AC382" s="10"/>
      <c r="AD382" s="10"/>
      <c r="AE382" s="10"/>
      <c r="AF382" s="10"/>
    </row>
    <row r="383" spans="1:32"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0"/>
      <c r="AC383" s="10"/>
      <c r="AD383" s="10"/>
      <c r="AE383" s="10"/>
      <c r="AF383" s="10"/>
    </row>
    <row r="384" spans="1:32"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0"/>
      <c r="AC384" s="10"/>
      <c r="AD384" s="10"/>
      <c r="AE384" s="10"/>
      <c r="AF384" s="10"/>
    </row>
    <row r="385" spans="1:32"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0"/>
      <c r="AC385" s="10"/>
      <c r="AD385" s="10"/>
      <c r="AE385" s="10"/>
      <c r="AF385" s="10"/>
    </row>
    <row r="386" spans="1:32"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0"/>
      <c r="AC386" s="10"/>
      <c r="AD386" s="10"/>
      <c r="AE386" s="10"/>
      <c r="AF386" s="10"/>
    </row>
    <row r="387" spans="1:32"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0"/>
      <c r="AC387" s="10"/>
      <c r="AD387" s="10"/>
      <c r="AE387" s="10"/>
      <c r="AF387" s="10"/>
    </row>
    <row r="388" spans="1:32"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0"/>
      <c r="AC388" s="10"/>
      <c r="AD388" s="10"/>
      <c r="AE388" s="10"/>
      <c r="AF388" s="10"/>
    </row>
    <row r="389" spans="1:32"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0"/>
      <c r="AC389" s="10"/>
      <c r="AD389" s="10"/>
      <c r="AE389" s="10"/>
      <c r="AF389" s="10"/>
    </row>
    <row r="390" spans="1:32"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0"/>
      <c r="AC390" s="10"/>
      <c r="AD390" s="10"/>
      <c r="AE390" s="10"/>
      <c r="AF390" s="10"/>
    </row>
    <row r="391" spans="1:32"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0"/>
      <c r="AC391" s="10"/>
      <c r="AD391" s="10"/>
      <c r="AE391" s="10"/>
      <c r="AF391" s="10"/>
    </row>
    <row r="392" spans="1:32"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0"/>
      <c r="AC392" s="10"/>
      <c r="AD392" s="10"/>
      <c r="AE392" s="10"/>
      <c r="AF392" s="10"/>
    </row>
    <row r="393" spans="1:32"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0"/>
      <c r="AC393" s="10"/>
      <c r="AD393" s="10"/>
      <c r="AE393" s="10"/>
      <c r="AF393" s="10"/>
    </row>
    <row r="394" spans="1:32"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0"/>
      <c r="AC394" s="10"/>
      <c r="AD394" s="10"/>
      <c r="AE394" s="10"/>
      <c r="AF394" s="10"/>
    </row>
    <row r="395" spans="1:32"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0"/>
      <c r="AC395" s="10"/>
      <c r="AD395" s="10"/>
      <c r="AE395" s="10"/>
      <c r="AF395" s="10"/>
    </row>
    <row r="396" spans="1:32"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0"/>
      <c r="AC396" s="10"/>
      <c r="AD396" s="10"/>
      <c r="AE396" s="10"/>
      <c r="AF396" s="10"/>
    </row>
    <row r="397" spans="1:32"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0"/>
      <c r="AC397" s="10"/>
      <c r="AD397" s="10"/>
      <c r="AE397" s="10"/>
      <c r="AF397" s="10"/>
    </row>
    <row r="398" spans="1:32"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0"/>
      <c r="AC398" s="10"/>
      <c r="AD398" s="10"/>
      <c r="AE398" s="10"/>
      <c r="AF398" s="10"/>
    </row>
    <row r="399" spans="1:32"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0"/>
      <c r="AC399" s="10"/>
      <c r="AD399" s="10"/>
      <c r="AE399" s="10"/>
      <c r="AF399" s="10"/>
    </row>
    <row r="400" spans="1:32"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0"/>
      <c r="AC400" s="10"/>
      <c r="AD400" s="10"/>
      <c r="AE400" s="10"/>
      <c r="AF400" s="10"/>
    </row>
    <row r="401" spans="1:32"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0"/>
      <c r="AC401" s="10"/>
      <c r="AD401" s="10"/>
      <c r="AE401" s="10"/>
      <c r="AF401" s="10"/>
    </row>
    <row r="402" spans="1:32"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0"/>
      <c r="AC402" s="10"/>
      <c r="AD402" s="10"/>
      <c r="AE402" s="10"/>
      <c r="AF402" s="10"/>
    </row>
    <row r="403" spans="1:32"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0"/>
      <c r="AC403" s="10"/>
      <c r="AD403" s="10"/>
      <c r="AE403" s="10"/>
      <c r="AF403" s="10"/>
    </row>
    <row r="404" spans="1:32"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0"/>
      <c r="AC404" s="10"/>
      <c r="AD404" s="10"/>
      <c r="AE404" s="10"/>
      <c r="AF404" s="10"/>
    </row>
    <row r="405" spans="1:32"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0"/>
      <c r="AC405" s="10"/>
      <c r="AD405" s="10"/>
      <c r="AE405" s="10"/>
      <c r="AF405" s="10"/>
    </row>
    <row r="406" spans="1:32"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0"/>
      <c r="AC406" s="10"/>
      <c r="AD406" s="10"/>
      <c r="AE406" s="10"/>
      <c r="AF406" s="10"/>
    </row>
    <row r="407" spans="1:32"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0"/>
      <c r="AC407" s="10"/>
      <c r="AD407" s="10"/>
      <c r="AE407" s="10"/>
      <c r="AF407" s="10"/>
    </row>
    <row r="408" spans="1:32"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0"/>
      <c r="AC408" s="10"/>
      <c r="AD408" s="10"/>
      <c r="AE408" s="10"/>
      <c r="AF408" s="10"/>
    </row>
    <row r="409" spans="1:32"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0"/>
      <c r="AC409" s="10"/>
      <c r="AD409" s="10"/>
      <c r="AE409" s="10"/>
      <c r="AF409" s="10"/>
    </row>
    <row r="410" spans="1:32"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0"/>
      <c r="AC410" s="10"/>
      <c r="AD410" s="10"/>
      <c r="AE410" s="10"/>
      <c r="AF410" s="10"/>
    </row>
    <row r="411" spans="1:32"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0"/>
      <c r="AC411" s="10"/>
      <c r="AD411" s="10"/>
      <c r="AE411" s="10"/>
      <c r="AF411" s="10"/>
    </row>
    <row r="412" spans="1:32"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0"/>
      <c r="AC412" s="10"/>
      <c r="AD412" s="10"/>
      <c r="AE412" s="10"/>
      <c r="AF412" s="10"/>
    </row>
    <row r="413" spans="1:32"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0"/>
      <c r="AC413" s="10"/>
      <c r="AD413" s="10"/>
      <c r="AE413" s="10"/>
      <c r="AF413" s="10"/>
    </row>
    <row r="414" spans="1:32"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0"/>
      <c r="AC414" s="10"/>
      <c r="AD414" s="10"/>
      <c r="AE414" s="10"/>
      <c r="AF414" s="10"/>
    </row>
    <row r="415" spans="1:32"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0"/>
      <c r="AC415" s="10"/>
      <c r="AD415" s="10"/>
      <c r="AE415" s="10"/>
      <c r="AF415" s="10"/>
    </row>
    <row r="416" spans="1:32"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0"/>
      <c r="AC416" s="10"/>
      <c r="AD416" s="10"/>
      <c r="AE416" s="10"/>
      <c r="AF416" s="10"/>
    </row>
    <row r="417" spans="1:32"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0"/>
      <c r="AC417" s="10"/>
      <c r="AD417" s="10"/>
      <c r="AE417" s="10"/>
      <c r="AF417" s="10"/>
    </row>
    <row r="418" spans="1:32"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0"/>
      <c r="AC418" s="10"/>
      <c r="AD418" s="10"/>
      <c r="AE418" s="10"/>
      <c r="AF418" s="10"/>
    </row>
    <row r="419" spans="1:32"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0"/>
      <c r="AC419" s="10"/>
      <c r="AD419" s="10"/>
      <c r="AE419" s="10"/>
      <c r="AF419" s="10"/>
    </row>
    <row r="420" spans="1:32"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0"/>
      <c r="AC420" s="10"/>
      <c r="AD420" s="10"/>
      <c r="AE420" s="10"/>
      <c r="AF420" s="10"/>
    </row>
    <row r="421" spans="1:32"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0"/>
      <c r="AC421" s="10"/>
      <c r="AD421" s="10"/>
      <c r="AE421" s="10"/>
      <c r="AF421" s="10"/>
    </row>
    <row r="422" spans="1:32"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0"/>
      <c r="AC422" s="10"/>
      <c r="AD422" s="10"/>
      <c r="AE422" s="10"/>
      <c r="AF422" s="10"/>
    </row>
    <row r="423" spans="1:32"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0"/>
      <c r="AC423" s="10"/>
      <c r="AD423" s="10"/>
      <c r="AE423" s="10"/>
      <c r="AF423" s="10"/>
    </row>
    <row r="424" spans="1:32"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0"/>
      <c r="AC424" s="10"/>
      <c r="AD424" s="10"/>
      <c r="AE424" s="10"/>
      <c r="AF424" s="10"/>
    </row>
    <row r="425" spans="1:32"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0"/>
      <c r="AC425" s="10"/>
      <c r="AD425" s="10"/>
      <c r="AE425" s="10"/>
      <c r="AF425" s="10"/>
    </row>
    <row r="426" spans="1:32"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0"/>
      <c r="AC426" s="10"/>
      <c r="AD426" s="10"/>
      <c r="AE426" s="10"/>
      <c r="AF426" s="10"/>
    </row>
    <row r="427" spans="1:32"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0"/>
      <c r="AC427" s="10"/>
      <c r="AD427" s="10"/>
      <c r="AE427" s="10"/>
      <c r="AF427" s="10"/>
    </row>
    <row r="428" spans="1:32"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0"/>
      <c r="AC428" s="10"/>
      <c r="AD428" s="10"/>
      <c r="AE428" s="10"/>
      <c r="AF428" s="10"/>
    </row>
    <row r="429" spans="1:32"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0"/>
      <c r="AC429" s="10"/>
      <c r="AD429" s="10"/>
      <c r="AE429" s="10"/>
      <c r="AF429" s="10"/>
    </row>
    <row r="430" spans="1:32"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0"/>
      <c r="AC430" s="10"/>
      <c r="AD430" s="10"/>
      <c r="AE430" s="10"/>
      <c r="AF430" s="10"/>
    </row>
    <row r="431" spans="1:32"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0"/>
      <c r="AC431" s="10"/>
      <c r="AD431" s="10"/>
      <c r="AE431" s="10"/>
      <c r="AF431" s="10"/>
    </row>
    <row r="432" spans="1:32"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0"/>
      <c r="AC432" s="10"/>
      <c r="AD432" s="10"/>
      <c r="AE432" s="10"/>
      <c r="AF432" s="10"/>
    </row>
    <row r="433" spans="1:32"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0"/>
      <c r="AC433" s="10"/>
      <c r="AD433" s="10"/>
      <c r="AE433" s="10"/>
      <c r="AF433" s="10"/>
    </row>
    <row r="434" spans="1:32"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0"/>
      <c r="AC434" s="10"/>
      <c r="AD434" s="10"/>
      <c r="AE434" s="10"/>
      <c r="AF434" s="10"/>
    </row>
    <row r="435" spans="1:32"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0"/>
      <c r="AC435" s="10"/>
      <c r="AD435" s="10"/>
      <c r="AE435" s="10"/>
      <c r="AF435" s="10"/>
    </row>
    <row r="436" spans="1:32"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0"/>
      <c r="AC436" s="10"/>
      <c r="AD436" s="10"/>
      <c r="AE436" s="10"/>
      <c r="AF436" s="10"/>
    </row>
    <row r="437" spans="1:32"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0"/>
      <c r="AC437" s="10"/>
      <c r="AD437" s="10"/>
      <c r="AE437" s="10"/>
      <c r="AF437" s="10"/>
    </row>
    <row r="438" spans="1:32"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0"/>
      <c r="AC438" s="10"/>
      <c r="AD438" s="10"/>
      <c r="AE438" s="10"/>
      <c r="AF438" s="10"/>
    </row>
    <row r="439" spans="1:32"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0"/>
      <c r="AC439" s="10"/>
      <c r="AD439" s="10"/>
      <c r="AE439" s="10"/>
      <c r="AF439" s="10"/>
    </row>
    <row r="440" spans="1:32"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0"/>
      <c r="AC440" s="10"/>
      <c r="AD440" s="10"/>
      <c r="AE440" s="10"/>
      <c r="AF440" s="10"/>
    </row>
    <row r="441" spans="1:32"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0"/>
      <c r="AC441" s="10"/>
      <c r="AD441" s="10"/>
      <c r="AE441" s="10"/>
      <c r="AF441" s="10"/>
    </row>
    <row r="442" spans="1:32"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0"/>
      <c r="AC442" s="10"/>
      <c r="AD442" s="10"/>
      <c r="AE442" s="10"/>
      <c r="AF442" s="10"/>
    </row>
    <row r="443" spans="1:32"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0"/>
      <c r="AC443" s="10"/>
      <c r="AD443" s="10"/>
      <c r="AE443" s="10"/>
      <c r="AF443" s="10"/>
    </row>
    <row r="444" spans="1:32"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0"/>
      <c r="AC444" s="10"/>
      <c r="AD444" s="10"/>
      <c r="AE444" s="10"/>
      <c r="AF444" s="10"/>
    </row>
    <row r="445" spans="1:32"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0"/>
      <c r="AC445" s="10"/>
      <c r="AD445" s="10"/>
      <c r="AE445" s="10"/>
      <c r="AF445" s="10"/>
    </row>
    <row r="446" spans="1:32"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0"/>
      <c r="AC446" s="10"/>
      <c r="AD446" s="10"/>
      <c r="AE446" s="10"/>
      <c r="AF446" s="10"/>
    </row>
    <row r="447" spans="1:32"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0"/>
      <c r="AC447" s="10"/>
      <c r="AD447" s="10"/>
      <c r="AE447" s="10"/>
      <c r="AF447" s="10"/>
    </row>
    <row r="448" spans="1:32"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0"/>
      <c r="AC448" s="10"/>
      <c r="AD448" s="10"/>
      <c r="AE448" s="10"/>
      <c r="AF448" s="10"/>
    </row>
    <row r="449" spans="1:32"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0"/>
      <c r="AC449" s="10"/>
      <c r="AD449" s="10"/>
      <c r="AE449" s="10"/>
      <c r="AF449" s="10"/>
    </row>
    <row r="450" spans="1:32"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0"/>
      <c r="AC450" s="10"/>
      <c r="AD450" s="10"/>
      <c r="AE450" s="10"/>
      <c r="AF450" s="10"/>
    </row>
    <row r="451" spans="1:32"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0"/>
      <c r="AC451" s="10"/>
      <c r="AD451" s="10"/>
      <c r="AE451" s="10"/>
      <c r="AF451" s="10"/>
    </row>
    <row r="452" spans="1:32"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0"/>
      <c r="AC452" s="10"/>
      <c r="AD452" s="10"/>
      <c r="AE452" s="10"/>
      <c r="AF452" s="10"/>
    </row>
    <row r="453" spans="1:32"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0"/>
      <c r="AC453" s="10"/>
      <c r="AD453" s="10"/>
      <c r="AE453" s="10"/>
      <c r="AF453" s="10"/>
    </row>
    <row r="454" spans="1:32"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0"/>
      <c r="AC454" s="10"/>
      <c r="AD454" s="10"/>
      <c r="AE454" s="10"/>
      <c r="AF454" s="10"/>
    </row>
    <row r="455" spans="1:32"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0"/>
      <c r="AC455" s="10"/>
      <c r="AD455" s="10"/>
      <c r="AE455" s="10"/>
      <c r="AF455" s="10"/>
    </row>
    <row r="456" spans="1:32"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0"/>
      <c r="AC456" s="10"/>
      <c r="AD456" s="10"/>
      <c r="AE456" s="10"/>
      <c r="AF456" s="10"/>
    </row>
    <row r="457" spans="1:32"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0"/>
      <c r="AC457" s="10"/>
      <c r="AD457" s="10"/>
      <c r="AE457" s="10"/>
      <c r="AF457" s="10"/>
    </row>
    <row r="458" spans="1:32"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0"/>
      <c r="AC458" s="10"/>
      <c r="AD458" s="10"/>
      <c r="AE458" s="10"/>
      <c r="AF458" s="10"/>
    </row>
    <row r="459" spans="1:32"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0"/>
      <c r="AC459" s="10"/>
      <c r="AD459" s="10"/>
      <c r="AE459" s="10"/>
      <c r="AF459" s="10"/>
    </row>
    <row r="460" spans="1:32"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0"/>
      <c r="AC460" s="10"/>
      <c r="AD460" s="10"/>
      <c r="AE460" s="10"/>
      <c r="AF460" s="10"/>
    </row>
    <row r="461" spans="1:32"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0"/>
      <c r="AC461" s="10"/>
      <c r="AD461" s="10"/>
      <c r="AE461" s="10"/>
      <c r="AF461" s="10"/>
    </row>
    <row r="462" spans="1:32"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0"/>
      <c r="AC462" s="10"/>
      <c r="AD462" s="10"/>
      <c r="AE462" s="10"/>
      <c r="AF462" s="10"/>
    </row>
    <row r="463" spans="1:32"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0"/>
      <c r="AC463" s="10"/>
      <c r="AD463" s="10"/>
      <c r="AE463" s="10"/>
      <c r="AF463" s="10"/>
    </row>
    <row r="464" spans="1:32"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0"/>
      <c r="AC464" s="10"/>
      <c r="AD464" s="10"/>
      <c r="AE464" s="10"/>
      <c r="AF464" s="10"/>
    </row>
    <row r="465" spans="1:32"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0"/>
      <c r="AC465" s="10"/>
      <c r="AD465" s="10"/>
      <c r="AE465" s="10"/>
      <c r="AF465" s="10"/>
    </row>
    <row r="466" spans="1:32"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0"/>
      <c r="AC466" s="10"/>
      <c r="AD466" s="10"/>
      <c r="AE466" s="10"/>
      <c r="AF466" s="10"/>
    </row>
    <row r="467" spans="1:32"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0"/>
      <c r="AC467" s="10"/>
      <c r="AD467" s="10"/>
      <c r="AE467" s="10"/>
      <c r="AF467" s="10"/>
    </row>
    <row r="468" spans="1:32"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0"/>
      <c r="AC468" s="10"/>
      <c r="AD468" s="10"/>
      <c r="AE468" s="10"/>
      <c r="AF468" s="10"/>
    </row>
    <row r="469" spans="1:32"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0"/>
      <c r="AC469" s="10"/>
      <c r="AD469" s="10"/>
      <c r="AE469" s="10"/>
      <c r="AF469" s="10"/>
    </row>
    <row r="470" spans="1:32"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0"/>
      <c r="AC470" s="10"/>
      <c r="AD470" s="10"/>
      <c r="AE470" s="10"/>
      <c r="AF470" s="10"/>
    </row>
    <row r="471" spans="1:32"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0"/>
      <c r="AC471" s="10"/>
      <c r="AD471" s="10"/>
      <c r="AE471" s="10"/>
      <c r="AF471" s="10"/>
    </row>
    <row r="472" spans="1:32"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0"/>
      <c r="AC472" s="10"/>
      <c r="AD472" s="10"/>
      <c r="AE472" s="10"/>
      <c r="AF472" s="10"/>
    </row>
    <row r="473" spans="1:32"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0"/>
      <c r="AC473" s="10"/>
      <c r="AD473" s="10"/>
      <c r="AE473" s="10"/>
      <c r="AF473" s="10"/>
    </row>
    <row r="474" spans="1:32"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0"/>
      <c r="AC474" s="10"/>
      <c r="AD474" s="10"/>
      <c r="AE474" s="10"/>
      <c r="AF474" s="10"/>
    </row>
    <row r="475" spans="1:32"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0"/>
      <c r="AC475" s="10"/>
      <c r="AD475" s="10"/>
      <c r="AE475" s="10"/>
      <c r="AF475" s="10"/>
    </row>
    <row r="476" spans="1:32"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0"/>
      <c r="AC476" s="10"/>
      <c r="AD476" s="10"/>
      <c r="AE476" s="10"/>
      <c r="AF476" s="10"/>
    </row>
    <row r="477" spans="1:32"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0"/>
      <c r="AC477" s="10"/>
      <c r="AD477" s="10"/>
      <c r="AE477" s="10"/>
      <c r="AF477" s="10"/>
    </row>
    <row r="478" spans="1:32"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0"/>
      <c r="AC478" s="10"/>
      <c r="AD478" s="10"/>
      <c r="AE478" s="10"/>
      <c r="AF478" s="10"/>
    </row>
    <row r="479" spans="1:32"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0"/>
      <c r="AC479" s="10"/>
      <c r="AD479" s="10"/>
      <c r="AE479" s="10"/>
      <c r="AF479" s="10"/>
    </row>
    <row r="480" spans="1:32"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0"/>
      <c r="AC480" s="10"/>
      <c r="AD480" s="10"/>
      <c r="AE480" s="10"/>
      <c r="AF480" s="10"/>
    </row>
    <row r="481" spans="1:32"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0"/>
      <c r="AC481" s="10"/>
      <c r="AD481" s="10"/>
      <c r="AE481" s="10"/>
      <c r="AF481" s="10"/>
    </row>
    <row r="482" spans="1:32"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0"/>
      <c r="AC482" s="10"/>
      <c r="AD482" s="10"/>
      <c r="AE482" s="10"/>
      <c r="AF482" s="10"/>
    </row>
    <row r="483" spans="1:32"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0"/>
      <c r="AC483" s="10"/>
      <c r="AD483" s="10"/>
      <c r="AE483" s="10"/>
      <c r="AF483" s="10"/>
    </row>
    <row r="484" spans="1:32"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0"/>
      <c r="AC484" s="10"/>
      <c r="AD484" s="10"/>
      <c r="AE484" s="10"/>
      <c r="AF484" s="10"/>
    </row>
    <row r="485" spans="1:32"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0"/>
      <c r="AC485" s="10"/>
      <c r="AD485" s="10"/>
      <c r="AE485" s="10"/>
      <c r="AF485" s="10"/>
    </row>
    <row r="486" spans="1:32"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0"/>
      <c r="AC486" s="10"/>
      <c r="AD486" s="10"/>
      <c r="AE486" s="10"/>
      <c r="AF486" s="10"/>
    </row>
    <row r="487" spans="1:32"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0"/>
      <c r="AC487" s="10"/>
      <c r="AD487" s="10"/>
      <c r="AE487" s="10"/>
      <c r="AF487" s="10"/>
    </row>
    <row r="488" spans="1:32"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0"/>
      <c r="AC488" s="10"/>
      <c r="AD488" s="10"/>
      <c r="AE488" s="10"/>
      <c r="AF488" s="10"/>
    </row>
    <row r="489" spans="1:32"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0"/>
      <c r="AC489" s="10"/>
      <c r="AD489" s="10"/>
      <c r="AE489" s="10"/>
      <c r="AF489" s="10"/>
    </row>
    <row r="490" spans="1:32"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0"/>
      <c r="AC490" s="10"/>
      <c r="AD490" s="10"/>
      <c r="AE490" s="10"/>
      <c r="AF490" s="10"/>
    </row>
    <row r="491" spans="1:32"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0"/>
      <c r="AC491" s="10"/>
      <c r="AD491" s="10"/>
      <c r="AE491" s="10"/>
      <c r="AF491" s="10"/>
    </row>
    <row r="492" spans="1:32"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0"/>
      <c r="AC492" s="10"/>
      <c r="AD492" s="10"/>
      <c r="AE492" s="10"/>
      <c r="AF492" s="10"/>
    </row>
    <row r="493" spans="1:32"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0"/>
      <c r="AC493" s="10"/>
      <c r="AD493" s="10"/>
      <c r="AE493" s="10"/>
      <c r="AF493" s="10"/>
    </row>
    <row r="494" spans="1:32"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0"/>
      <c r="AC494" s="10"/>
      <c r="AD494" s="10"/>
      <c r="AE494" s="10"/>
      <c r="AF494" s="10"/>
    </row>
    <row r="495" spans="1:32"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0"/>
      <c r="AC495" s="10"/>
      <c r="AD495" s="10"/>
      <c r="AE495" s="10"/>
      <c r="AF495" s="10"/>
    </row>
    <row r="496" spans="1:32"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0"/>
      <c r="AC496" s="10"/>
      <c r="AD496" s="10"/>
      <c r="AE496" s="10"/>
      <c r="AF496" s="10"/>
    </row>
    <row r="497" spans="1:32"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0"/>
      <c r="AC497" s="10"/>
      <c r="AD497" s="10"/>
      <c r="AE497" s="10"/>
      <c r="AF497" s="10"/>
    </row>
    <row r="498" spans="1:32"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0"/>
      <c r="AC498" s="10"/>
      <c r="AD498" s="10"/>
      <c r="AE498" s="10"/>
      <c r="AF498" s="10"/>
    </row>
    <row r="499" spans="1:32"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0"/>
      <c r="AC499" s="10"/>
      <c r="AD499" s="10"/>
      <c r="AE499" s="10"/>
      <c r="AF499" s="10"/>
    </row>
    <row r="500" spans="1:32"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0"/>
      <c r="AC500" s="10"/>
      <c r="AD500" s="10"/>
      <c r="AE500" s="10"/>
      <c r="AF500" s="10"/>
    </row>
    <row r="501" spans="1:32"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0"/>
      <c r="AC501" s="10"/>
      <c r="AD501" s="10"/>
      <c r="AE501" s="10"/>
      <c r="AF501" s="10"/>
    </row>
    <row r="502" spans="1:32"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0"/>
      <c r="AC502" s="10"/>
      <c r="AD502" s="10"/>
      <c r="AE502" s="10"/>
      <c r="AF502" s="10"/>
    </row>
    <row r="503" spans="1:32"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0"/>
      <c r="AC503" s="10"/>
      <c r="AD503" s="10"/>
      <c r="AE503" s="10"/>
      <c r="AF503" s="10"/>
    </row>
    <row r="504" spans="1:32"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0"/>
      <c r="AC504" s="10"/>
      <c r="AD504" s="10"/>
      <c r="AE504" s="10"/>
      <c r="AF504" s="10"/>
    </row>
    <row r="505" spans="1:32"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0"/>
      <c r="AC505" s="10"/>
      <c r="AD505" s="10"/>
      <c r="AE505" s="10"/>
      <c r="AF505" s="10"/>
    </row>
    <row r="506" spans="1:32"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0"/>
      <c r="AC506" s="10"/>
      <c r="AD506" s="10"/>
      <c r="AE506" s="10"/>
      <c r="AF506" s="10"/>
    </row>
    <row r="507" spans="1:32"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0"/>
      <c r="AC507" s="10"/>
      <c r="AD507" s="10"/>
      <c r="AE507" s="10"/>
      <c r="AF507" s="10"/>
    </row>
    <row r="508" spans="1:32"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0"/>
      <c r="AC508" s="10"/>
      <c r="AD508" s="10"/>
      <c r="AE508" s="10"/>
      <c r="AF508" s="10"/>
    </row>
    <row r="509" spans="1:32"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0"/>
      <c r="AC509" s="10"/>
      <c r="AD509" s="10"/>
      <c r="AE509" s="10"/>
      <c r="AF509" s="10"/>
    </row>
    <row r="510" spans="1:32"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0"/>
      <c r="AC510" s="10"/>
      <c r="AD510" s="10"/>
      <c r="AE510" s="10"/>
      <c r="AF510" s="10"/>
    </row>
    <row r="511" spans="1:32"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0"/>
      <c r="AC511" s="10"/>
      <c r="AD511" s="10"/>
      <c r="AE511" s="10"/>
      <c r="AF511" s="10"/>
    </row>
    <row r="512" spans="1:32"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0"/>
      <c r="AC512" s="10"/>
      <c r="AD512" s="10"/>
      <c r="AE512" s="10"/>
      <c r="AF512" s="10"/>
    </row>
    <row r="513" spans="1:32"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0"/>
      <c r="AC513" s="10"/>
      <c r="AD513" s="10"/>
      <c r="AE513" s="10"/>
      <c r="AF513" s="10"/>
    </row>
    <row r="514" spans="1:32"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0"/>
      <c r="AC514" s="10"/>
      <c r="AD514" s="10"/>
      <c r="AE514" s="10"/>
      <c r="AF514" s="10"/>
    </row>
    <row r="515" spans="1:32"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0"/>
      <c r="AC515" s="10"/>
      <c r="AD515" s="10"/>
      <c r="AE515" s="10"/>
      <c r="AF515" s="10"/>
    </row>
    <row r="516" spans="1:32"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0"/>
      <c r="AC516" s="10"/>
      <c r="AD516" s="10"/>
      <c r="AE516" s="10"/>
      <c r="AF516" s="10"/>
    </row>
    <row r="517" spans="1:32"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0"/>
      <c r="AC517" s="10"/>
      <c r="AD517" s="10"/>
      <c r="AE517" s="10"/>
      <c r="AF517" s="10"/>
    </row>
    <row r="518" spans="1:32"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0"/>
      <c r="AC518" s="10"/>
      <c r="AD518" s="10"/>
      <c r="AE518" s="10"/>
      <c r="AF518" s="10"/>
    </row>
    <row r="519" spans="1:32"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0"/>
      <c r="AC519" s="10"/>
      <c r="AD519" s="10"/>
      <c r="AE519" s="10"/>
      <c r="AF519" s="10"/>
    </row>
    <row r="520" spans="1:32"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0"/>
      <c r="AC520" s="10"/>
      <c r="AD520" s="10"/>
      <c r="AE520" s="10"/>
      <c r="AF520" s="10"/>
    </row>
    <row r="521" spans="1:32"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0"/>
      <c r="AC521" s="10"/>
      <c r="AD521" s="10"/>
      <c r="AE521" s="10"/>
      <c r="AF521" s="10"/>
    </row>
    <row r="522" spans="1:32"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0"/>
      <c r="AC522" s="10"/>
      <c r="AD522" s="10"/>
      <c r="AE522" s="10"/>
      <c r="AF522" s="10"/>
    </row>
    <row r="523" spans="1:32"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0"/>
      <c r="AC523" s="10"/>
      <c r="AD523" s="10"/>
      <c r="AE523" s="10"/>
      <c r="AF523" s="10"/>
    </row>
    <row r="524" spans="1:32"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0"/>
      <c r="AC524" s="10"/>
      <c r="AD524" s="10"/>
      <c r="AE524" s="10"/>
      <c r="AF524" s="10"/>
    </row>
    <row r="525" spans="1:32"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0"/>
      <c r="AC525" s="10"/>
      <c r="AD525" s="10"/>
      <c r="AE525" s="10"/>
      <c r="AF525" s="10"/>
    </row>
    <row r="526" spans="1:32"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0"/>
      <c r="AC526" s="10"/>
      <c r="AD526" s="10"/>
      <c r="AE526" s="10"/>
      <c r="AF526" s="10"/>
    </row>
    <row r="527" spans="1:32"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0"/>
      <c r="AC527" s="10"/>
      <c r="AD527" s="10"/>
      <c r="AE527" s="10"/>
      <c r="AF527" s="10"/>
    </row>
    <row r="528" spans="1:32"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0"/>
      <c r="AC528" s="10"/>
      <c r="AD528" s="10"/>
      <c r="AE528" s="10"/>
      <c r="AF528" s="10"/>
    </row>
    <row r="529" spans="1:32"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0"/>
      <c r="AC529" s="10"/>
      <c r="AD529" s="10"/>
      <c r="AE529" s="10"/>
      <c r="AF529" s="10"/>
    </row>
    <row r="530" spans="1:32"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0"/>
      <c r="AC530" s="10"/>
      <c r="AD530" s="10"/>
      <c r="AE530" s="10"/>
      <c r="AF530" s="10"/>
    </row>
    <row r="531" spans="1:32"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0"/>
      <c r="AC531" s="10"/>
      <c r="AD531" s="10"/>
      <c r="AE531" s="10"/>
      <c r="AF531" s="10"/>
    </row>
    <row r="532" spans="1:32"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0"/>
      <c r="AC532" s="10"/>
      <c r="AD532" s="10"/>
      <c r="AE532" s="10"/>
      <c r="AF532" s="10"/>
    </row>
    <row r="533" spans="1:32"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0"/>
      <c r="AC533" s="10"/>
      <c r="AD533" s="10"/>
      <c r="AE533" s="10"/>
      <c r="AF533" s="10"/>
    </row>
    <row r="534" spans="1:32"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0"/>
      <c r="AC534" s="10"/>
      <c r="AD534" s="10"/>
      <c r="AE534" s="10"/>
      <c r="AF534" s="10"/>
    </row>
    <row r="535" spans="1:32"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0"/>
      <c r="AC535" s="10"/>
      <c r="AD535" s="10"/>
      <c r="AE535" s="10"/>
      <c r="AF535" s="10"/>
    </row>
    <row r="536" spans="1:32"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0"/>
      <c r="AC536" s="10"/>
      <c r="AD536" s="10"/>
      <c r="AE536" s="10"/>
      <c r="AF536" s="10"/>
    </row>
    <row r="537" spans="1:32"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0"/>
      <c r="AC537" s="10"/>
      <c r="AD537" s="10"/>
      <c r="AE537" s="10"/>
      <c r="AF537" s="10"/>
    </row>
    <row r="538" spans="1:32"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0"/>
      <c r="AC538" s="10"/>
      <c r="AD538" s="10"/>
      <c r="AE538" s="10"/>
      <c r="AF538" s="10"/>
    </row>
    <row r="539" spans="1:32"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0"/>
      <c r="AC539" s="10"/>
      <c r="AD539" s="10"/>
      <c r="AE539" s="10"/>
      <c r="AF539" s="10"/>
    </row>
    <row r="540" spans="1:32"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0"/>
      <c r="AC540" s="10"/>
      <c r="AD540" s="10"/>
      <c r="AE540" s="10"/>
      <c r="AF540" s="10"/>
    </row>
    <row r="541" spans="1:32"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0"/>
      <c r="AC541" s="10"/>
      <c r="AD541" s="10"/>
      <c r="AE541" s="10"/>
      <c r="AF541" s="10"/>
    </row>
    <row r="542" spans="1:32"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0"/>
      <c r="AC542" s="10"/>
      <c r="AD542" s="10"/>
      <c r="AE542" s="10"/>
      <c r="AF542" s="10"/>
    </row>
    <row r="543" spans="1:32"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0"/>
      <c r="AC543" s="10"/>
      <c r="AD543" s="10"/>
      <c r="AE543" s="10"/>
      <c r="AF543" s="10"/>
    </row>
    <row r="544" spans="1:32"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0"/>
      <c r="AC544" s="10"/>
      <c r="AD544" s="10"/>
      <c r="AE544" s="10"/>
      <c r="AF544" s="10"/>
    </row>
    <row r="545" spans="1:32"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0"/>
      <c r="AC545" s="10"/>
      <c r="AD545" s="10"/>
      <c r="AE545" s="10"/>
      <c r="AF545" s="10"/>
    </row>
    <row r="546" spans="1:32"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0"/>
      <c r="AC546" s="10"/>
      <c r="AD546" s="10"/>
      <c r="AE546" s="10"/>
      <c r="AF546" s="10"/>
    </row>
    <row r="547" spans="1:32"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0"/>
      <c r="AC547" s="10"/>
      <c r="AD547" s="10"/>
      <c r="AE547" s="10"/>
      <c r="AF547" s="10"/>
    </row>
    <row r="548" spans="1:32"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0"/>
      <c r="AC548" s="10"/>
      <c r="AD548" s="10"/>
      <c r="AE548" s="10"/>
      <c r="AF548" s="10"/>
    </row>
    <row r="549" spans="1:32"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0"/>
      <c r="AC549" s="10"/>
      <c r="AD549" s="10"/>
      <c r="AE549" s="10"/>
      <c r="AF549" s="10"/>
    </row>
    <row r="550" spans="1:32"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0"/>
      <c r="AC550" s="10"/>
      <c r="AD550" s="10"/>
      <c r="AE550" s="10"/>
      <c r="AF550" s="10"/>
    </row>
    <row r="551" spans="1:32"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0"/>
      <c r="AC551" s="10"/>
      <c r="AD551" s="10"/>
      <c r="AE551" s="10"/>
      <c r="AF551" s="10"/>
    </row>
    <row r="552" spans="1:32"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0"/>
      <c r="AC552" s="10"/>
      <c r="AD552" s="10"/>
      <c r="AE552" s="10"/>
      <c r="AF552" s="10"/>
    </row>
    <row r="553" spans="1:32"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0"/>
      <c r="AC553" s="10"/>
      <c r="AD553" s="10"/>
      <c r="AE553" s="10"/>
      <c r="AF553" s="10"/>
    </row>
    <row r="554" spans="1:32"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0"/>
      <c r="AC554" s="10"/>
      <c r="AD554" s="10"/>
      <c r="AE554" s="10"/>
      <c r="AF554" s="10"/>
    </row>
    <row r="555" spans="1:32"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0"/>
      <c r="AC555" s="10"/>
      <c r="AD555" s="10"/>
      <c r="AE555" s="10"/>
      <c r="AF555" s="10"/>
    </row>
    <row r="556" spans="1:32"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0"/>
      <c r="AC556" s="10"/>
      <c r="AD556" s="10"/>
      <c r="AE556" s="10"/>
      <c r="AF556" s="10"/>
    </row>
    <row r="557" spans="1:32"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0"/>
      <c r="AC557" s="10"/>
      <c r="AD557" s="10"/>
      <c r="AE557" s="10"/>
      <c r="AF557" s="10"/>
    </row>
    <row r="558" spans="1:32"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0"/>
      <c r="AC558" s="10"/>
      <c r="AD558" s="10"/>
      <c r="AE558" s="10"/>
      <c r="AF558" s="10"/>
    </row>
    <row r="559" spans="1:32"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0"/>
      <c r="AC559" s="10"/>
      <c r="AD559" s="10"/>
      <c r="AE559" s="10"/>
      <c r="AF559" s="10"/>
    </row>
    <row r="560" spans="1:32"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0"/>
      <c r="AC560" s="10"/>
      <c r="AD560" s="10"/>
      <c r="AE560" s="10"/>
      <c r="AF560" s="10"/>
    </row>
    <row r="561" spans="1:32"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0"/>
      <c r="AC561" s="10"/>
      <c r="AD561" s="10"/>
      <c r="AE561" s="10"/>
      <c r="AF561" s="10"/>
    </row>
    <row r="562" spans="1:32"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0"/>
      <c r="AC562" s="10"/>
      <c r="AD562" s="10"/>
      <c r="AE562" s="10"/>
      <c r="AF562" s="10"/>
    </row>
    <row r="563" spans="1:32"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0"/>
      <c r="AC563" s="10"/>
      <c r="AD563" s="10"/>
      <c r="AE563" s="10"/>
      <c r="AF563" s="10"/>
    </row>
    <row r="564" spans="1:32"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0"/>
      <c r="AC564" s="10"/>
      <c r="AD564" s="10"/>
      <c r="AE564" s="10"/>
      <c r="AF564" s="10"/>
    </row>
    <row r="565" spans="1:32"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0"/>
      <c r="AC565" s="10"/>
      <c r="AD565" s="10"/>
      <c r="AE565" s="10"/>
      <c r="AF565" s="10"/>
    </row>
    <row r="566" spans="1:32"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0"/>
      <c r="AC566" s="10"/>
      <c r="AD566" s="10"/>
      <c r="AE566" s="10"/>
      <c r="AF566" s="10"/>
    </row>
    <row r="567" spans="1:32"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0"/>
      <c r="AC567" s="10"/>
      <c r="AD567" s="10"/>
      <c r="AE567" s="10"/>
      <c r="AF567" s="10"/>
    </row>
    <row r="568" spans="1:32"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0"/>
      <c r="AC568" s="10"/>
      <c r="AD568" s="10"/>
      <c r="AE568" s="10"/>
      <c r="AF568" s="10"/>
    </row>
    <row r="569" spans="1:32"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0"/>
      <c r="AC569" s="10"/>
      <c r="AD569" s="10"/>
      <c r="AE569" s="10"/>
      <c r="AF569" s="10"/>
    </row>
    <row r="570" spans="1:32"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0"/>
      <c r="AC570" s="10"/>
      <c r="AD570" s="10"/>
      <c r="AE570" s="10"/>
      <c r="AF570" s="10"/>
    </row>
    <row r="571" spans="1:32"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0"/>
      <c r="AC571" s="10"/>
      <c r="AD571" s="10"/>
      <c r="AE571" s="10"/>
      <c r="AF571" s="10"/>
    </row>
    <row r="572" spans="1:32"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0"/>
      <c r="AC572" s="10"/>
      <c r="AD572" s="10"/>
      <c r="AE572" s="10"/>
      <c r="AF572" s="10"/>
    </row>
    <row r="573" spans="1:32"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0"/>
      <c r="AC573" s="10"/>
      <c r="AD573" s="10"/>
      <c r="AE573" s="10"/>
      <c r="AF573" s="10"/>
    </row>
    <row r="574" spans="1:32"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0"/>
      <c r="AC574" s="10"/>
      <c r="AD574" s="10"/>
      <c r="AE574" s="10"/>
      <c r="AF574" s="10"/>
    </row>
    <row r="575" spans="1:32"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0"/>
      <c r="AC575" s="10"/>
      <c r="AD575" s="10"/>
      <c r="AE575" s="10"/>
      <c r="AF575" s="10"/>
    </row>
    <row r="576" spans="1:32"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0"/>
      <c r="AC576" s="10"/>
      <c r="AD576" s="10"/>
      <c r="AE576" s="10"/>
      <c r="AF576" s="10"/>
    </row>
    <row r="577" spans="1:32"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0"/>
      <c r="AC577" s="10"/>
      <c r="AD577" s="10"/>
      <c r="AE577" s="10"/>
      <c r="AF577" s="10"/>
    </row>
    <row r="578" spans="1:32"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0"/>
      <c r="AC578" s="10"/>
      <c r="AD578" s="10"/>
      <c r="AE578" s="10"/>
      <c r="AF578" s="10"/>
    </row>
    <row r="579" spans="1:32"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0"/>
      <c r="AC579" s="10"/>
      <c r="AD579" s="10"/>
      <c r="AE579" s="10"/>
      <c r="AF579" s="10"/>
    </row>
    <row r="580" spans="1:32"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0"/>
      <c r="AC580" s="10"/>
      <c r="AD580" s="10"/>
      <c r="AE580" s="10"/>
      <c r="AF580" s="10"/>
    </row>
    <row r="581" spans="1:32"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0"/>
      <c r="AC581" s="10"/>
      <c r="AD581" s="10"/>
      <c r="AE581" s="10"/>
      <c r="AF581" s="10"/>
    </row>
    <row r="582" spans="1:32"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0"/>
      <c r="AC582" s="10"/>
      <c r="AD582" s="10"/>
      <c r="AE582" s="10"/>
      <c r="AF582" s="10"/>
    </row>
    <row r="583" spans="1:32"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0"/>
      <c r="AC583" s="10"/>
      <c r="AD583" s="10"/>
      <c r="AE583" s="10"/>
      <c r="AF583" s="10"/>
    </row>
    <row r="584" spans="1:32"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0"/>
      <c r="AC584" s="10"/>
      <c r="AD584" s="10"/>
      <c r="AE584" s="10"/>
      <c r="AF584" s="10"/>
    </row>
    <row r="585" spans="1:32"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0"/>
      <c r="AC585" s="10"/>
      <c r="AD585" s="10"/>
      <c r="AE585" s="10"/>
      <c r="AF585" s="10"/>
    </row>
    <row r="586" spans="1:32"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0"/>
      <c r="AC586" s="10"/>
      <c r="AD586" s="10"/>
      <c r="AE586" s="10"/>
      <c r="AF586" s="10"/>
    </row>
    <row r="587" spans="1:32"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0"/>
      <c r="AC587" s="10"/>
      <c r="AD587" s="10"/>
      <c r="AE587" s="10"/>
      <c r="AF587" s="10"/>
    </row>
    <row r="588" spans="1:32"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0"/>
      <c r="AC588" s="10"/>
      <c r="AD588" s="10"/>
      <c r="AE588" s="10"/>
      <c r="AF588" s="10"/>
    </row>
    <row r="589" spans="1:32"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0"/>
      <c r="AC589" s="10"/>
      <c r="AD589" s="10"/>
      <c r="AE589" s="10"/>
      <c r="AF589" s="10"/>
    </row>
    <row r="590" spans="1:32"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0"/>
      <c r="AC590" s="10"/>
      <c r="AD590" s="10"/>
      <c r="AE590" s="10"/>
      <c r="AF590" s="10"/>
    </row>
    <row r="591" spans="1:32"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0"/>
      <c r="AC591" s="10"/>
      <c r="AD591" s="10"/>
      <c r="AE591" s="10"/>
      <c r="AF591" s="10"/>
    </row>
    <row r="592" spans="1:32"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0"/>
      <c r="AC592" s="10"/>
      <c r="AD592" s="10"/>
      <c r="AE592" s="10"/>
      <c r="AF592" s="10"/>
    </row>
    <row r="593" spans="1:32"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0"/>
      <c r="AC593" s="10"/>
      <c r="AD593" s="10"/>
      <c r="AE593" s="10"/>
      <c r="AF593" s="10"/>
    </row>
    <row r="594" spans="1:32"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0"/>
      <c r="AC594" s="10"/>
      <c r="AD594" s="10"/>
      <c r="AE594" s="10"/>
      <c r="AF594" s="10"/>
    </row>
    <row r="595" spans="1:32"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0"/>
      <c r="AC595" s="10"/>
      <c r="AD595" s="10"/>
      <c r="AE595" s="10"/>
      <c r="AF595" s="10"/>
    </row>
    <row r="596" spans="1:32"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0"/>
      <c r="AC596" s="10"/>
      <c r="AD596" s="10"/>
      <c r="AE596" s="10"/>
      <c r="AF596" s="10"/>
    </row>
    <row r="597" spans="1:32"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0"/>
      <c r="AC597" s="10"/>
      <c r="AD597" s="10"/>
      <c r="AE597" s="10"/>
      <c r="AF597" s="10"/>
    </row>
    <row r="598" spans="1:32"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0"/>
      <c r="AC598" s="10"/>
      <c r="AD598" s="10"/>
      <c r="AE598" s="10"/>
      <c r="AF598" s="10"/>
    </row>
    <row r="599" spans="1:32"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0"/>
      <c r="AC599" s="10"/>
      <c r="AD599" s="10"/>
      <c r="AE599" s="10"/>
      <c r="AF599" s="10"/>
    </row>
    <row r="600" spans="1:32"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0"/>
      <c r="AC600" s="10"/>
      <c r="AD600" s="10"/>
      <c r="AE600" s="10"/>
      <c r="AF600" s="10"/>
    </row>
    <row r="601" spans="1:32"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0"/>
      <c r="AC601" s="10"/>
      <c r="AD601" s="10"/>
      <c r="AE601" s="10"/>
      <c r="AF601" s="10"/>
    </row>
    <row r="602" spans="1:32"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0"/>
      <c r="AC602" s="10"/>
      <c r="AD602" s="10"/>
      <c r="AE602" s="10"/>
      <c r="AF602" s="10"/>
    </row>
    <row r="603" spans="1:32"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0"/>
      <c r="AC603" s="10"/>
      <c r="AD603" s="10"/>
      <c r="AE603" s="10"/>
      <c r="AF603" s="10"/>
    </row>
    <row r="604" spans="1:32"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0"/>
      <c r="AC604" s="10"/>
      <c r="AD604" s="10"/>
      <c r="AE604" s="10"/>
      <c r="AF604" s="10"/>
    </row>
    <row r="605" spans="1:32"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0"/>
      <c r="AC605" s="10"/>
      <c r="AD605" s="10"/>
      <c r="AE605" s="10"/>
      <c r="AF605" s="10"/>
    </row>
    <row r="606" spans="1:32"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0"/>
      <c r="AC606" s="10"/>
      <c r="AD606" s="10"/>
      <c r="AE606" s="10"/>
      <c r="AF606" s="10"/>
    </row>
    <row r="607" spans="1:32"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0"/>
      <c r="AC607" s="10"/>
      <c r="AD607" s="10"/>
      <c r="AE607" s="10"/>
      <c r="AF607" s="10"/>
    </row>
    <row r="608" spans="1:32"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0"/>
      <c r="AC608" s="10"/>
      <c r="AD608" s="10"/>
      <c r="AE608" s="10"/>
      <c r="AF608" s="10"/>
    </row>
    <row r="609" spans="1:32"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0"/>
      <c r="AC609" s="10"/>
      <c r="AD609" s="10"/>
      <c r="AE609" s="10"/>
      <c r="AF609" s="10"/>
    </row>
    <row r="610" spans="1:32"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0"/>
      <c r="AC610" s="10"/>
      <c r="AD610" s="10"/>
      <c r="AE610" s="10"/>
      <c r="AF610" s="10"/>
    </row>
    <row r="611" spans="1:32"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0"/>
      <c r="AC611" s="10"/>
      <c r="AD611" s="10"/>
      <c r="AE611" s="10"/>
      <c r="AF611" s="10"/>
    </row>
    <row r="612" spans="1:32"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0"/>
      <c r="AC612" s="10"/>
      <c r="AD612" s="10"/>
      <c r="AE612" s="10"/>
      <c r="AF612" s="10"/>
    </row>
    <row r="613" spans="1:32"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0"/>
      <c r="AC613" s="10"/>
      <c r="AD613" s="10"/>
      <c r="AE613" s="10"/>
      <c r="AF613" s="10"/>
    </row>
    <row r="614" spans="1:32"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0"/>
      <c r="AC614" s="10"/>
      <c r="AD614" s="10"/>
      <c r="AE614" s="10"/>
      <c r="AF614" s="10"/>
    </row>
    <row r="615" spans="1:32"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0"/>
      <c r="AC615" s="10"/>
      <c r="AD615" s="10"/>
      <c r="AE615" s="10"/>
      <c r="AF615" s="10"/>
    </row>
    <row r="616" spans="1:32"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0"/>
      <c r="AC616" s="10"/>
      <c r="AD616" s="10"/>
      <c r="AE616" s="10"/>
      <c r="AF616" s="10"/>
    </row>
    <row r="617" spans="1:32"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0"/>
      <c r="AC617" s="10"/>
      <c r="AD617" s="10"/>
      <c r="AE617" s="10"/>
      <c r="AF617" s="10"/>
    </row>
    <row r="618" spans="1:32"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0"/>
      <c r="AC618" s="10"/>
      <c r="AD618" s="10"/>
      <c r="AE618" s="10"/>
      <c r="AF618" s="10"/>
    </row>
    <row r="619" spans="1:32"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0"/>
      <c r="AC619" s="10"/>
      <c r="AD619" s="10"/>
      <c r="AE619" s="10"/>
      <c r="AF619" s="10"/>
    </row>
    <row r="620" spans="1:32"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0"/>
      <c r="AC620" s="10"/>
      <c r="AD620" s="10"/>
      <c r="AE620" s="10"/>
      <c r="AF620" s="10"/>
    </row>
    <row r="621" spans="1:32"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0"/>
      <c r="AC621" s="10"/>
      <c r="AD621" s="10"/>
      <c r="AE621" s="10"/>
      <c r="AF621" s="10"/>
    </row>
    <row r="622" spans="1:32"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0"/>
      <c r="AC622" s="10"/>
      <c r="AD622" s="10"/>
      <c r="AE622" s="10"/>
      <c r="AF622" s="10"/>
    </row>
    <row r="623" spans="1:32"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0"/>
      <c r="AC623" s="10"/>
      <c r="AD623" s="10"/>
      <c r="AE623" s="10"/>
      <c r="AF623" s="10"/>
    </row>
    <row r="624" spans="1:32"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0"/>
      <c r="AC624" s="10"/>
      <c r="AD624" s="10"/>
      <c r="AE624" s="10"/>
      <c r="AF624" s="10"/>
    </row>
    <row r="625" spans="1:32"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0"/>
      <c r="AC625" s="10"/>
      <c r="AD625" s="10"/>
      <c r="AE625" s="10"/>
      <c r="AF625" s="10"/>
    </row>
    <row r="626" spans="1:32"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0"/>
      <c r="AC626" s="10"/>
      <c r="AD626" s="10"/>
      <c r="AE626" s="10"/>
      <c r="AF626" s="10"/>
    </row>
    <row r="627" spans="1:32"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0"/>
      <c r="AC627" s="10"/>
      <c r="AD627" s="10"/>
      <c r="AE627" s="10"/>
      <c r="AF627" s="10"/>
    </row>
    <row r="628" spans="1:32"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0"/>
      <c r="AC628" s="10"/>
      <c r="AD628" s="10"/>
      <c r="AE628" s="10"/>
      <c r="AF628" s="10"/>
    </row>
    <row r="629" spans="1:32"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0"/>
      <c r="AC629" s="10"/>
      <c r="AD629" s="10"/>
      <c r="AE629" s="10"/>
      <c r="AF629" s="10"/>
    </row>
    <row r="630" spans="1:32"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0"/>
      <c r="AC630" s="10"/>
      <c r="AD630" s="10"/>
      <c r="AE630" s="10"/>
      <c r="AF630" s="10"/>
    </row>
    <row r="631" spans="1:32"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0"/>
      <c r="AC631" s="10"/>
      <c r="AD631" s="10"/>
      <c r="AE631" s="10"/>
      <c r="AF631" s="10"/>
    </row>
    <row r="632" spans="1:32"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0"/>
      <c r="AC632" s="10"/>
      <c r="AD632" s="10"/>
      <c r="AE632" s="10"/>
      <c r="AF632" s="10"/>
    </row>
    <row r="633" spans="1:32"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0"/>
      <c r="AC633" s="10"/>
      <c r="AD633" s="10"/>
      <c r="AE633" s="10"/>
      <c r="AF633" s="10"/>
    </row>
    <row r="634" spans="1:32"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0"/>
      <c r="AC634" s="10"/>
      <c r="AD634" s="10"/>
      <c r="AE634" s="10"/>
      <c r="AF634" s="10"/>
    </row>
    <row r="635" spans="1:32"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0"/>
      <c r="AC635" s="10"/>
      <c r="AD635" s="10"/>
      <c r="AE635" s="10"/>
      <c r="AF635" s="10"/>
    </row>
    <row r="636" spans="1:32"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0"/>
      <c r="AC636" s="10"/>
      <c r="AD636" s="10"/>
      <c r="AE636" s="10"/>
      <c r="AF636" s="10"/>
    </row>
    <row r="637" spans="1:32"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0"/>
      <c r="AC637" s="10"/>
      <c r="AD637" s="10"/>
      <c r="AE637" s="10"/>
      <c r="AF637" s="10"/>
    </row>
    <row r="638" spans="1:32"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0"/>
      <c r="AC638" s="10"/>
      <c r="AD638" s="10"/>
      <c r="AE638" s="10"/>
      <c r="AF638" s="10"/>
    </row>
    <row r="639" spans="1:32"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0"/>
      <c r="AC639" s="10"/>
      <c r="AD639" s="10"/>
      <c r="AE639" s="10"/>
      <c r="AF639" s="10"/>
    </row>
    <row r="640" spans="1:32"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0"/>
      <c r="AC640" s="10"/>
      <c r="AD640" s="10"/>
      <c r="AE640" s="10"/>
      <c r="AF640" s="10"/>
    </row>
    <row r="641" spans="1:32"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0"/>
      <c r="AC641" s="10"/>
      <c r="AD641" s="10"/>
      <c r="AE641" s="10"/>
      <c r="AF641" s="10"/>
    </row>
    <row r="642" spans="1:32"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0"/>
      <c r="AC642" s="10"/>
      <c r="AD642" s="10"/>
      <c r="AE642" s="10"/>
      <c r="AF642" s="10"/>
    </row>
    <row r="643" spans="1:32"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0"/>
      <c r="AC643" s="10"/>
      <c r="AD643" s="10"/>
      <c r="AE643" s="10"/>
      <c r="AF643" s="10"/>
    </row>
    <row r="644" spans="1:32"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0"/>
      <c r="AC644" s="10"/>
      <c r="AD644" s="10"/>
      <c r="AE644" s="10"/>
      <c r="AF644" s="10"/>
    </row>
    <row r="645" spans="1:32"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0"/>
      <c r="AC645" s="10"/>
      <c r="AD645" s="10"/>
      <c r="AE645" s="10"/>
      <c r="AF645" s="10"/>
    </row>
    <row r="646" spans="1:32"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0"/>
      <c r="AC646" s="10"/>
      <c r="AD646" s="10"/>
      <c r="AE646" s="10"/>
      <c r="AF646" s="10"/>
    </row>
    <row r="647" spans="1:32"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0"/>
      <c r="AC647" s="10"/>
      <c r="AD647" s="10"/>
      <c r="AE647" s="10"/>
      <c r="AF647" s="10"/>
    </row>
    <row r="648" spans="1:32"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0"/>
      <c r="AC648" s="10"/>
      <c r="AD648" s="10"/>
      <c r="AE648" s="10"/>
      <c r="AF648" s="10"/>
    </row>
    <row r="649" spans="1:32"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0"/>
      <c r="AC649" s="10"/>
      <c r="AD649" s="10"/>
      <c r="AE649" s="10"/>
      <c r="AF649" s="10"/>
    </row>
    <row r="650" spans="1:32"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0"/>
      <c r="AC650" s="10"/>
      <c r="AD650" s="10"/>
      <c r="AE650" s="10"/>
      <c r="AF650" s="10"/>
    </row>
    <row r="651" spans="1:32"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0"/>
      <c r="AC651" s="10"/>
      <c r="AD651" s="10"/>
      <c r="AE651" s="10"/>
      <c r="AF651" s="10"/>
    </row>
    <row r="652" spans="1:32"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0"/>
      <c r="AC652" s="10"/>
      <c r="AD652" s="10"/>
      <c r="AE652" s="10"/>
      <c r="AF652" s="10"/>
    </row>
    <row r="653" spans="1:32"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0"/>
      <c r="AC653" s="10"/>
      <c r="AD653" s="10"/>
      <c r="AE653" s="10"/>
      <c r="AF653" s="10"/>
    </row>
    <row r="654" spans="1:32"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0"/>
      <c r="AC654" s="10"/>
      <c r="AD654" s="10"/>
      <c r="AE654" s="10"/>
      <c r="AF654" s="10"/>
    </row>
    <row r="655" spans="1:32"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0"/>
      <c r="AC655" s="10"/>
      <c r="AD655" s="10"/>
      <c r="AE655" s="10"/>
      <c r="AF655" s="10"/>
    </row>
    <row r="656" spans="1:32"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0"/>
      <c r="AC656" s="10"/>
      <c r="AD656" s="10"/>
      <c r="AE656" s="10"/>
      <c r="AF656" s="10"/>
    </row>
    <row r="657" spans="1:32"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0"/>
      <c r="AC657" s="10"/>
      <c r="AD657" s="10"/>
      <c r="AE657" s="10"/>
      <c r="AF657" s="10"/>
    </row>
    <row r="658" spans="1:32"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0"/>
      <c r="AC658" s="10"/>
      <c r="AD658" s="10"/>
      <c r="AE658" s="10"/>
      <c r="AF658" s="10"/>
    </row>
    <row r="659" spans="1:32"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0"/>
      <c r="AC659" s="10"/>
      <c r="AD659" s="10"/>
      <c r="AE659" s="10"/>
      <c r="AF659" s="10"/>
    </row>
    <row r="660" spans="1:32"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0"/>
      <c r="AC660" s="10"/>
      <c r="AD660" s="10"/>
      <c r="AE660" s="10"/>
      <c r="AF660" s="10"/>
    </row>
    <row r="661" spans="1:32"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0"/>
      <c r="AC661" s="10"/>
      <c r="AD661" s="10"/>
      <c r="AE661" s="10"/>
      <c r="AF661" s="10"/>
    </row>
    <row r="662" spans="1:32"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0"/>
      <c r="AC662" s="10"/>
      <c r="AD662" s="10"/>
      <c r="AE662" s="10"/>
      <c r="AF662" s="10"/>
    </row>
    <row r="663" spans="1:32"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0"/>
      <c r="AC663" s="10"/>
      <c r="AD663" s="10"/>
      <c r="AE663" s="10"/>
      <c r="AF663" s="10"/>
    </row>
    <row r="664" spans="1:32"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0"/>
      <c r="AC664" s="10"/>
      <c r="AD664" s="10"/>
      <c r="AE664" s="10"/>
      <c r="AF664" s="10"/>
    </row>
    <row r="665" spans="1:32"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0"/>
      <c r="AC665" s="10"/>
      <c r="AD665" s="10"/>
      <c r="AE665" s="10"/>
      <c r="AF665" s="10"/>
    </row>
    <row r="666" spans="1:32"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0"/>
      <c r="AC666" s="10"/>
      <c r="AD666" s="10"/>
      <c r="AE666" s="10"/>
      <c r="AF666" s="10"/>
    </row>
    <row r="667" spans="1:32"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0"/>
      <c r="AC667" s="10"/>
      <c r="AD667" s="10"/>
      <c r="AE667" s="10"/>
      <c r="AF667" s="10"/>
    </row>
    <row r="668" spans="1:32"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0"/>
      <c r="AC668" s="10"/>
      <c r="AD668" s="10"/>
      <c r="AE668" s="10"/>
      <c r="AF668" s="10"/>
    </row>
    <row r="669" spans="1:32"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0"/>
      <c r="AC669" s="10"/>
      <c r="AD669" s="10"/>
      <c r="AE669" s="10"/>
      <c r="AF669" s="10"/>
    </row>
    <row r="670" spans="1:32"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0"/>
      <c r="AC670" s="10"/>
      <c r="AD670" s="10"/>
      <c r="AE670" s="10"/>
      <c r="AF670" s="10"/>
    </row>
    <row r="671" spans="1:32"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0"/>
      <c r="AC671" s="10"/>
      <c r="AD671" s="10"/>
      <c r="AE671" s="10"/>
      <c r="AF671" s="10"/>
    </row>
    <row r="672" spans="1:32"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0"/>
      <c r="AC672" s="10"/>
      <c r="AD672" s="10"/>
      <c r="AE672" s="10"/>
      <c r="AF672" s="10"/>
    </row>
    <row r="673" spans="1:32"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0"/>
      <c r="AC673" s="10"/>
      <c r="AD673" s="10"/>
      <c r="AE673" s="10"/>
      <c r="AF673" s="10"/>
    </row>
    <row r="674" spans="1:32"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0"/>
      <c r="AC674" s="10"/>
      <c r="AD674" s="10"/>
      <c r="AE674" s="10"/>
      <c r="AF674" s="10"/>
    </row>
    <row r="675" spans="1:32"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0"/>
      <c r="AC675" s="10"/>
      <c r="AD675" s="10"/>
      <c r="AE675" s="10"/>
      <c r="AF675" s="10"/>
    </row>
    <row r="676" spans="1:32"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0"/>
      <c r="AC676" s="10"/>
      <c r="AD676" s="10"/>
      <c r="AE676" s="10"/>
      <c r="AF676" s="10"/>
    </row>
    <row r="677" spans="1:32"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0"/>
      <c r="AC677" s="10"/>
      <c r="AD677" s="10"/>
      <c r="AE677" s="10"/>
      <c r="AF677" s="10"/>
    </row>
    <row r="678" spans="1:32"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0"/>
      <c r="AC678" s="10"/>
      <c r="AD678" s="10"/>
      <c r="AE678" s="10"/>
      <c r="AF678" s="10"/>
    </row>
    <row r="679" spans="1:32"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0"/>
      <c r="AC679" s="10"/>
      <c r="AD679" s="10"/>
      <c r="AE679" s="10"/>
      <c r="AF679" s="10"/>
    </row>
    <row r="680" spans="1:32"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0"/>
      <c r="AC680" s="10"/>
      <c r="AD680" s="10"/>
      <c r="AE680" s="10"/>
      <c r="AF680" s="10"/>
    </row>
    <row r="681" spans="1:32"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0"/>
      <c r="AC681" s="10"/>
      <c r="AD681" s="10"/>
      <c r="AE681" s="10"/>
      <c r="AF681" s="10"/>
    </row>
    <row r="682" spans="1:32"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0"/>
      <c r="AC682" s="10"/>
      <c r="AD682" s="10"/>
      <c r="AE682" s="10"/>
      <c r="AF682" s="10"/>
    </row>
    <row r="683" spans="1:32"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0"/>
      <c r="AC683" s="10"/>
      <c r="AD683" s="10"/>
      <c r="AE683" s="10"/>
      <c r="AF683" s="10"/>
    </row>
    <row r="684" spans="1:32"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0"/>
      <c r="AC684" s="10"/>
      <c r="AD684" s="10"/>
      <c r="AE684" s="10"/>
      <c r="AF684" s="10"/>
    </row>
    <row r="685" spans="1:32"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0"/>
      <c r="AC685" s="10"/>
      <c r="AD685" s="10"/>
      <c r="AE685" s="10"/>
      <c r="AF685" s="10"/>
    </row>
    <row r="686" spans="1:32"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0"/>
      <c r="AC686" s="10"/>
      <c r="AD686" s="10"/>
      <c r="AE686" s="10"/>
      <c r="AF686" s="10"/>
    </row>
    <row r="687" spans="1:32"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0"/>
      <c r="AC687" s="10"/>
      <c r="AD687" s="10"/>
      <c r="AE687" s="10"/>
      <c r="AF687" s="10"/>
    </row>
    <row r="688" spans="1:32"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0"/>
      <c r="AC688" s="10"/>
      <c r="AD688" s="10"/>
      <c r="AE688" s="10"/>
      <c r="AF688" s="10"/>
    </row>
    <row r="689" spans="1:32"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0"/>
      <c r="AC689" s="10"/>
      <c r="AD689" s="10"/>
      <c r="AE689" s="10"/>
      <c r="AF689" s="10"/>
    </row>
    <row r="690" spans="1:32"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0"/>
      <c r="AC690" s="10"/>
      <c r="AD690" s="10"/>
      <c r="AE690" s="10"/>
      <c r="AF690" s="10"/>
    </row>
    <row r="691" spans="1:32"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0"/>
      <c r="AC691" s="10"/>
      <c r="AD691" s="10"/>
      <c r="AE691" s="10"/>
      <c r="AF691" s="10"/>
    </row>
    <row r="692" spans="1:32"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0"/>
      <c r="AC692" s="10"/>
      <c r="AD692" s="10"/>
      <c r="AE692" s="10"/>
      <c r="AF692" s="10"/>
    </row>
    <row r="693" spans="1:32"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0"/>
      <c r="AC693" s="10"/>
      <c r="AD693" s="10"/>
      <c r="AE693" s="10"/>
      <c r="AF693" s="10"/>
    </row>
    <row r="694" spans="1:32"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0"/>
      <c r="AC694" s="10"/>
      <c r="AD694" s="10"/>
      <c r="AE694" s="10"/>
      <c r="AF694" s="10"/>
    </row>
    <row r="695" spans="1:32"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0"/>
      <c r="AC695" s="10"/>
      <c r="AD695" s="10"/>
      <c r="AE695" s="10"/>
      <c r="AF695" s="10"/>
    </row>
    <row r="696" spans="1:32"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0"/>
      <c r="AC696" s="10"/>
      <c r="AD696" s="10"/>
      <c r="AE696" s="10"/>
      <c r="AF696" s="10"/>
    </row>
    <row r="697" spans="1:32"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0"/>
      <c r="AC697" s="10"/>
      <c r="AD697" s="10"/>
      <c r="AE697" s="10"/>
      <c r="AF697" s="10"/>
    </row>
    <row r="698" spans="1:32"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0"/>
      <c r="AC698" s="10"/>
      <c r="AD698" s="10"/>
      <c r="AE698" s="10"/>
      <c r="AF698" s="10"/>
    </row>
    <row r="699" spans="1:32"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0"/>
      <c r="AC699" s="10"/>
      <c r="AD699" s="10"/>
      <c r="AE699" s="10"/>
      <c r="AF699" s="10"/>
    </row>
    <row r="700" spans="1:32"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0"/>
      <c r="AC700" s="10"/>
      <c r="AD700" s="10"/>
      <c r="AE700" s="10"/>
      <c r="AF700" s="10"/>
    </row>
    <row r="701" spans="1:32"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0"/>
      <c r="AC701" s="10"/>
      <c r="AD701" s="10"/>
      <c r="AE701" s="10"/>
      <c r="AF701" s="10"/>
    </row>
    <row r="702" spans="1:32"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0"/>
      <c r="AC702" s="10"/>
      <c r="AD702" s="10"/>
      <c r="AE702" s="10"/>
      <c r="AF702" s="10"/>
    </row>
    <row r="703" spans="1:32"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0"/>
      <c r="AC703" s="10"/>
      <c r="AD703" s="10"/>
      <c r="AE703" s="10"/>
      <c r="AF703" s="10"/>
    </row>
    <row r="704" spans="1:32"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0"/>
      <c r="AC704" s="10"/>
      <c r="AD704" s="10"/>
      <c r="AE704" s="10"/>
      <c r="AF704" s="10"/>
    </row>
    <row r="705" spans="1:32"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0"/>
      <c r="AC705" s="10"/>
      <c r="AD705" s="10"/>
      <c r="AE705" s="10"/>
      <c r="AF705" s="10"/>
    </row>
    <row r="706" spans="1:32"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0"/>
      <c r="AC706" s="10"/>
      <c r="AD706" s="10"/>
      <c r="AE706" s="10"/>
      <c r="AF706" s="10"/>
    </row>
    <row r="707" spans="1:32"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0"/>
      <c r="AC707" s="10"/>
      <c r="AD707" s="10"/>
      <c r="AE707" s="10"/>
      <c r="AF707" s="10"/>
    </row>
    <row r="708" spans="1:32"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0"/>
      <c r="AC708" s="10"/>
      <c r="AD708" s="10"/>
      <c r="AE708" s="10"/>
      <c r="AF708" s="10"/>
    </row>
    <row r="709" spans="1:32"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0"/>
      <c r="AC709" s="10"/>
      <c r="AD709" s="10"/>
      <c r="AE709" s="10"/>
      <c r="AF709" s="10"/>
    </row>
    <row r="710" spans="1:32"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0"/>
      <c r="AC710" s="10"/>
      <c r="AD710" s="10"/>
      <c r="AE710" s="10"/>
      <c r="AF710" s="10"/>
    </row>
    <row r="711" spans="1:32"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0"/>
      <c r="AC711" s="10"/>
      <c r="AD711" s="10"/>
      <c r="AE711" s="10"/>
      <c r="AF711" s="10"/>
    </row>
    <row r="712" spans="1:32"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0"/>
      <c r="AC712" s="10"/>
      <c r="AD712" s="10"/>
      <c r="AE712" s="10"/>
      <c r="AF712" s="10"/>
    </row>
    <row r="713" spans="1:32"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0"/>
      <c r="AC713" s="10"/>
      <c r="AD713" s="10"/>
      <c r="AE713" s="10"/>
      <c r="AF713" s="10"/>
    </row>
    <row r="714" spans="1:32"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0"/>
      <c r="AC714" s="10"/>
      <c r="AD714" s="10"/>
      <c r="AE714" s="10"/>
      <c r="AF714" s="10"/>
    </row>
    <row r="715" spans="1:32"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0"/>
      <c r="AC715" s="10"/>
      <c r="AD715" s="10"/>
      <c r="AE715" s="10"/>
      <c r="AF715" s="10"/>
    </row>
    <row r="716" spans="1:32"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0"/>
      <c r="AC716" s="10"/>
      <c r="AD716" s="10"/>
      <c r="AE716" s="10"/>
      <c r="AF716" s="10"/>
    </row>
    <row r="717" spans="1:32"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0"/>
      <c r="AC717" s="10"/>
      <c r="AD717" s="10"/>
      <c r="AE717" s="10"/>
      <c r="AF717" s="10"/>
    </row>
    <row r="718" spans="1:32"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0"/>
      <c r="AC718" s="10"/>
      <c r="AD718" s="10"/>
      <c r="AE718" s="10"/>
      <c r="AF718" s="10"/>
    </row>
    <row r="719" spans="1:32"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0"/>
      <c r="AC719" s="10"/>
      <c r="AD719" s="10"/>
      <c r="AE719" s="10"/>
      <c r="AF719" s="10"/>
    </row>
    <row r="720" spans="1:32"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0"/>
      <c r="AC720" s="10"/>
      <c r="AD720" s="10"/>
      <c r="AE720" s="10"/>
      <c r="AF720" s="10"/>
    </row>
    <row r="721" spans="1:32"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0"/>
      <c r="AC721" s="10"/>
      <c r="AD721" s="10"/>
      <c r="AE721" s="10"/>
      <c r="AF721" s="10"/>
    </row>
    <row r="722" spans="1:32"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0"/>
      <c r="AC722" s="10"/>
      <c r="AD722" s="10"/>
      <c r="AE722" s="10"/>
      <c r="AF722" s="10"/>
    </row>
    <row r="723" spans="1:32"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0"/>
      <c r="AC723" s="10"/>
      <c r="AD723" s="10"/>
      <c r="AE723" s="10"/>
      <c r="AF723" s="10"/>
    </row>
    <row r="724" spans="1:32"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0"/>
      <c r="AC724" s="10"/>
      <c r="AD724" s="10"/>
      <c r="AE724" s="10"/>
      <c r="AF724" s="10"/>
    </row>
    <row r="725" spans="1:32"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0"/>
      <c r="AC725" s="10"/>
      <c r="AD725" s="10"/>
      <c r="AE725" s="10"/>
      <c r="AF725" s="10"/>
    </row>
    <row r="726" spans="1:32"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0"/>
      <c r="AC726" s="10"/>
      <c r="AD726" s="10"/>
      <c r="AE726" s="10"/>
      <c r="AF726" s="10"/>
    </row>
    <row r="727" spans="1:32"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0"/>
      <c r="AC727" s="10"/>
      <c r="AD727" s="10"/>
      <c r="AE727" s="10"/>
      <c r="AF727" s="10"/>
    </row>
    <row r="728" spans="1:32"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0"/>
      <c r="AC728" s="10"/>
      <c r="AD728" s="10"/>
      <c r="AE728" s="10"/>
      <c r="AF728" s="10"/>
    </row>
    <row r="729" spans="1:32"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0"/>
      <c r="AC729" s="10"/>
      <c r="AD729" s="10"/>
      <c r="AE729" s="10"/>
      <c r="AF729" s="10"/>
    </row>
    <row r="730" spans="1:32"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0"/>
      <c r="AC730" s="10"/>
      <c r="AD730" s="10"/>
      <c r="AE730" s="10"/>
      <c r="AF730" s="10"/>
    </row>
    <row r="731" spans="1:32"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0"/>
      <c r="AC731" s="10"/>
      <c r="AD731" s="10"/>
      <c r="AE731" s="10"/>
      <c r="AF731" s="10"/>
    </row>
    <row r="732" spans="1:32"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0"/>
      <c r="AC732" s="10"/>
      <c r="AD732" s="10"/>
      <c r="AE732" s="10"/>
      <c r="AF732" s="10"/>
    </row>
    <row r="733" spans="1:32"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0"/>
      <c r="AC733" s="10"/>
      <c r="AD733" s="10"/>
      <c r="AE733" s="10"/>
      <c r="AF733" s="10"/>
    </row>
    <row r="734" spans="1:32"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0"/>
      <c r="AC734" s="10"/>
      <c r="AD734" s="10"/>
      <c r="AE734" s="10"/>
      <c r="AF734" s="10"/>
    </row>
    <row r="735" spans="1:32"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0"/>
      <c r="AC735" s="10"/>
      <c r="AD735" s="10"/>
      <c r="AE735" s="10"/>
      <c r="AF735" s="10"/>
    </row>
    <row r="736" spans="1:32"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0"/>
      <c r="AC736" s="10"/>
      <c r="AD736" s="10"/>
      <c r="AE736" s="10"/>
      <c r="AF736" s="10"/>
    </row>
    <row r="737" spans="1:32"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0"/>
      <c r="AC737" s="10"/>
      <c r="AD737" s="10"/>
      <c r="AE737" s="10"/>
      <c r="AF737" s="10"/>
    </row>
    <row r="738" spans="1:32"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0"/>
      <c r="AC738" s="10"/>
      <c r="AD738" s="10"/>
      <c r="AE738" s="10"/>
      <c r="AF738" s="10"/>
    </row>
    <row r="739" spans="1:32"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0"/>
      <c r="AC739" s="10"/>
      <c r="AD739" s="10"/>
      <c r="AE739" s="10"/>
      <c r="AF739" s="10"/>
    </row>
    <row r="740" spans="1:32"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0"/>
      <c r="AC740" s="10"/>
      <c r="AD740" s="10"/>
      <c r="AE740" s="10"/>
      <c r="AF740" s="10"/>
    </row>
    <row r="741" spans="1:32"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0"/>
      <c r="AC741" s="10"/>
      <c r="AD741" s="10"/>
      <c r="AE741" s="10"/>
      <c r="AF741" s="10"/>
    </row>
    <row r="742" spans="1:32"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0"/>
      <c r="AC742" s="10"/>
      <c r="AD742" s="10"/>
      <c r="AE742" s="10"/>
      <c r="AF742" s="10"/>
    </row>
    <row r="743" spans="1:32"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0"/>
      <c r="AC743" s="10"/>
      <c r="AD743" s="10"/>
      <c r="AE743" s="10"/>
      <c r="AF743" s="10"/>
    </row>
    <row r="744" spans="1:32"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0"/>
      <c r="AC744" s="10"/>
      <c r="AD744" s="10"/>
      <c r="AE744" s="10"/>
      <c r="AF744" s="10"/>
    </row>
    <row r="745" spans="1:32"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0"/>
      <c r="AC745" s="10"/>
      <c r="AD745" s="10"/>
      <c r="AE745" s="10"/>
      <c r="AF745" s="10"/>
    </row>
    <row r="746" spans="1:32"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0"/>
      <c r="AC746" s="10"/>
      <c r="AD746" s="10"/>
      <c r="AE746" s="10"/>
      <c r="AF746" s="10"/>
    </row>
    <row r="747" spans="1:32"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0"/>
      <c r="AC747" s="10"/>
      <c r="AD747" s="10"/>
      <c r="AE747" s="10"/>
      <c r="AF747" s="10"/>
    </row>
    <row r="748" spans="1:32"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0"/>
      <c r="AC748" s="10"/>
      <c r="AD748" s="10"/>
      <c r="AE748" s="10"/>
      <c r="AF748" s="10"/>
    </row>
    <row r="749" spans="1:32"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0"/>
      <c r="AC749" s="10"/>
      <c r="AD749" s="10"/>
      <c r="AE749" s="10"/>
      <c r="AF749" s="10"/>
    </row>
    <row r="750" spans="1:32"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0"/>
      <c r="AC750" s="10"/>
      <c r="AD750" s="10"/>
      <c r="AE750" s="10"/>
      <c r="AF750" s="10"/>
    </row>
    <row r="751" spans="1:32"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0"/>
      <c r="AC751" s="10"/>
      <c r="AD751" s="10"/>
      <c r="AE751" s="10"/>
      <c r="AF751" s="10"/>
    </row>
    <row r="752" spans="1:32"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0"/>
      <c r="AC752" s="10"/>
      <c r="AD752" s="10"/>
      <c r="AE752" s="10"/>
      <c r="AF752" s="10"/>
    </row>
    <row r="753" spans="1:32"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0"/>
      <c r="AC753" s="10"/>
      <c r="AD753" s="10"/>
      <c r="AE753" s="10"/>
      <c r="AF753" s="10"/>
    </row>
    <row r="754" spans="1:32"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0"/>
      <c r="AC754" s="10"/>
      <c r="AD754" s="10"/>
      <c r="AE754" s="10"/>
      <c r="AF754" s="10"/>
    </row>
    <row r="755" spans="1:32"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0"/>
      <c r="AC755" s="10"/>
      <c r="AD755" s="10"/>
      <c r="AE755" s="10"/>
      <c r="AF755" s="10"/>
    </row>
    <row r="756" spans="1:32"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0"/>
      <c r="AC756" s="10"/>
      <c r="AD756" s="10"/>
      <c r="AE756" s="10"/>
      <c r="AF756" s="10"/>
    </row>
    <row r="757" spans="1:32"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0"/>
      <c r="AC757" s="10"/>
      <c r="AD757" s="10"/>
      <c r="AE757" s="10"/>
      <c r="AF757" s="10"/>
    </row>
    <row r="758" spans="1:32"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0"/>
      <c r="AC758" s="10"/>
      <c r="AD758" s="10"/>
      <c r="AE758" s="10"/>
      <c r="AF758" s="10"/>
    </row>
    <row r="759" spans="1:32"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0"/>
      <c r="AC759" s="10"/>
      <c r="AD759" s="10"/>
      <c r="AE759" s="10"/>
      <c r="AF759" s="10"/>
    </row>
    <row r="760" spans="1:32"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0"/>
      <c r="AC760" s="10"/>
      <c r="AD760" s="10"/>
      <c r="AE760" s="10"/>
      <c r="AF760" s="10"/>
    </row>
    <row r="761" spans="1:32"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0"/>
      <c r="AC761" s="10"/>
      <c r="AD761" s="10"/>
      <c r="AE761" s="10"/>
      <c r="AF761" s="10"/>
    </row>
    <row r="762" spans="1:32"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0"/>
      <c r="AC762" s="10"/>
      <c r="AD762" s="10"/>
      <c r="AE762" s="10"/>
      <c r="AF762" s="10"/>
    </row>
    <row r="763" spans="1:32"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0"/>
      <c r="AC763" s="10"/>
      <c r="AD763" s="10"/>
      <c r="AE763" s="10"/>
      <c r="AF763" s="10"/>
    </row>
    <row r="764" spans="1:32"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0"/>
      <c r="AC764" s="10"/>
      <c r="AD764" s="10"/>
      <c r="AE764" s="10"/>
      <c r="AF764" s="10"/>
    </row>
    <row r="765" spans="1:32"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0"/>
      <c r="AC765" s="10"/>
      <c r="AD765" s="10"/>
      <c r="AE765" s="10"/>
      <c r="AF765" s="10"/>
    </row>
    <row r="766" spans="1:32"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0"/>
      <c r="AC766" s="10"/>
      <c r="AD766" s="10"/>
      <c r="AE766" s="10"/>
      <c r="AF766" s="10"/>
    </row>
    <row r="767" spans="1:32"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0"/>
      <c r="AC767" s="10"/>
      <c r="AD767" s="10"/>
      <c r="AE767" s="10"/>
      <c r="AF767" s="10"/>
    </row>
    <row r="768" spans="1:32"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0"/>
      <c r="AC768" s="10"/>
      <c r="AD768" s="10"/>
      <c r="AE768" s="10"/>
      <c r="AF768" s="10"/>
    </row>
    <row r="769" spans="1:32"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0"/>
      <c r="AC769" s="10"/>
      <c r="AD769" s="10"/>
      <c r="AE769" s="10"/>
      <c r="AF769" s="10"/>
    </row>
    <row r="770" spans="1:32"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0"/>
      <c r="AC770" s="10"/>
      <c r="AD770" s="10"/>
      <c r="AE770" s="10"/>
      <c r="AF770" s="10"/>
    </row>
    <row r="771" spans="1:32"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0"/>
      <c r="AC771" s="10"/>
      <c r="AD771" s="10"/>
      <c r="AE771" s="10"/>
      <c r="AF771" s="10"/>
    </row>
    <row r="772" spans="1:32"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0"/>
      <c r="AC772" s="10"/>
      <c r="AD772" s="10"/>
      <c r="AE772" s="10"/>
      <c r="AF772" s="10"/>
    </row>
    <row r="773" spans="1:32"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0"/>
      <c r="AC773" s="10"/>
      <c r="AD773" s="10"/>
      <c r="AE773" s="10"/>
      <c r="AF773" s="10"/>
    </row>
    <row r="774" spans="1:32"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0"/>
      <c r="AC774" s="10"/>
      <c r="AD774" s="10"/>
      <c r="AE774" s="10"/>
      <c r="AF774" s="10"/>
    </row>
    <row r="775" spans="1:32"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0"/>
      <c r="AC775" s="10"/>
      <c r="AD775" s="10"/>
      <c r="AE775" s="10"/>
      <c r="AF775" s="10"/>
    </row>
    <row r="776" spans="1:32"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0"/>
      <c r="AC776" s="10"/>
      <c r="AD776" s="10"/>
      <c r="AE776" s="10"/>
      <c r="AF776" s="10"/>
    </row>
    <row r="777" spans="1:32"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0"/>
      <c r="AC777" s="10"/>
      <c r="AD777" s="10"/>
      <c r="AE777" s="10"/>
      <c r="AF777" s="10"/>
    </row>
    <row r="778" spans="1:32"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0"/>
      <c r="AC778" s="10"/>
      <c r="AD778" s="10"/>
      <c r="AE778" s="10"/>
      <c r="AF778" s="10"/>
    </row>
    <row r="779" spans="1:32"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0"/>
      <c r="AC779" s="10"/>
      <c r="AD779" s="10"/>
      <c r="AE779" s="10"/>
      <c r="AF779" s="10"/>
    </row>
    <row r="780" spans="1:32"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0"/>
      <c r="AC780" s="10"/>
      <c r="AD780" s="10"/>
      <c r="AE780" s="10"/>
      <c r="AF780" s="10"/>
    </row>
    <row r="781" spans="1:32"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0"/>
      <c r="AC781" s="10"/>
      <c r="AD781" s="10"/>
      <c r="AE781" s="10"/>
      <c r="AF781" s="10"/>
    </row>
    <row r="782" spans="1:32"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0"/>
      <c r="AC782" s="10"/>
      <c r="AD782" s="10"/>
      <c r="AE782" s="10"/>
      <c r="AF782" s="10"/>
    </row>
    <row r="783" spans="1:32"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0"/>
      <c r="AC783" s="10"/>
      <c r="AD783" s="10"/>
      <c r="AE783" s="10"/>
      <c r="AF783" s="10"/>
    </row>
    <row r="784" spans="1:32"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0"/>
      <c r="AC784" s="10"/>
      <c r="AD784" s="10"/>
      <c r="AE784" s="10"/>
      <c r="AF784" s="10"/>
    </row>
    <row r="785" spans="1:32"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0"/>
      <c r="AC785" s="10"/>
      <c r="AD785" s="10"/>
      <c r="AE785" s="10"/>
      <c r="AF785" s="10"/>
    </row>
    <row r="786" spans="1:32"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0"/>
      <c r="AC786" s="10"/>
      <c r="AD786" s="10"/>
      <c r="AE786" s="10"/>
      <c r="AF786" s="10"/>
    </row>
    <row r="787" spans="1:32"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0"/>
      <c r="AC787" s="10"/>
      <c r="AD787" s="10"/>
      <c r="AE787" s="10"/>
      <c r="AF787" s="10"/>
    </row>
    <row r="788" spans="1:32"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0"/>
      <c r="AC788" s="10"/>
      <c r="AD788" s="10"/>
      <c r="AE788" s="10"/>
      <c r="AF788" s="10"/>
    </row>
    <row r="789" spans="1:32"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0"/>
      <c r="AC789" s="10"/>
      <c r="AD789" s="10"/>
      <c r="AE789" s="10"/>
      <c r="AF789" s="10"/>
    </row>
    <row r="790" spans="1:32"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0"/>
      <c r="AC790" s="10"/>
      <c r="AD790" s="10"/>
      <c r="AE790" s="10"/>
      <c r="AF790" s="10"/>
    </row>
    <row r="791" spans="1:32"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0"/>
      <c r="AC791" s="10"/>
      <c r="AD791" s="10"/>
      <c r="AE791" s="10"/>
      <c r="AF791" s="10"/>
    </row>
    <row r="792" spans="1:32"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0"/>
      <c r="AC792" s="10"/>
      <c r="AD792" s="10"/>
      <c r="AE792" s="10"/>
      <c r="AF792" s="10"/>
    </row>
    <row r="793" spans="1:32"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0"/>
      <c r="AC793" s="10"/>
      <c r="AD793" s="10"/>
      <c r="AE793" s="10"/>
      <c r="AF793" s="10"/>
    </row>
    <row r="794" spans="1:32"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0"/>
      <c r="AC794" s="10"/>
      <c r="AD794" s="10"/>
      <c r="AE794" s="10"/>
      <c r="AF794" s="10"/>
    </row>
    <row r="795" spans="1:32"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0"/>
      <c r="AC795" s="10"/>
      <c r="AD795" s="10"/>
      <c r="AE795" s="10"/>
      <c r="AF795" s="10"/>
    </row>
    <row r="796" spans="1:32"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0"/>
      <c r="AC796" s="10"/>
      <c r="AD796" s="10"/>
      <c r="AE796" s="10"/>
      <c r="AF796" s="10"/>
    </row>
    <row r="797" spans="1:32"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0"/>
      <c r="AC797" s="10"/>
      <c r="AD797" s="10"/>
      <c r="AE797" s="10"/>
      <c r="AF797" s="10"/>
    </row>
    <row r="798" spans="1:32"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0"/>
      <c r="AC798" s="10"/>
      <c r="AD798" s="10"/>
      <c r="AE798" s="10"/>
      <c r="AF798" s="10"/>
    </row>
    <row r="799" spans="1:32"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0"/>
      <c r="AC799" s="10"/>
      <c r="AD799" s="10"/>
      <c r="AE799" s="10"/>
      <c r="AF799" s="10"/>
    </row>
    <row r="800" spans="1:32"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0"/>
      <c r="AC800" s="10"/>
      <c r="AD800" s="10"/>
      <c r="AE800" s="10"/>
      <c r="AF800" s="10"/>
    </row>
    <row r="801" spans="1:32"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0"/>
      <c r="AC801" s="10"/>
      <c r="AD801" s="10"/>
      <c r="AE801" s="10"/>
      <c r="AF801" s="10"/>
    </row>
    <row r="802" spans="1:32"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0"/>
      <c r="AC802" s="10"/>
      <c r="AD802" s="10"/>
      <c r="AE802" s="10"/>
      <c r="AF802" s="10"/>
    </row>
    <row r="803" spans="1:32"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0"/>
      <c r="AC803" s="10"/>
      <c r="AD803" s="10"/>
      <c r="AE803" s="10"/>
      <c r="AF803" s="10"/>
    </row>
    <row r="804" spans="1:32"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0"/>
      <c r="AC804" s="10"/>
      <c r="AD804" s="10"/>
      <c r="AE804" s="10"/>
      <c r="AF804" s="10"/>
    </row>
    <row r="805" spans="1:32"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0"/>
      <c r="AC805" s="10"/>
      <c r="AD805" s="10"/>
      <c r="AE805" s="10"/>
      <c r="AF805" s="10"/>
    </row>
    <row r="806" spans="1:32"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0"/>
      <c r="AC806" s="10"/>
      <c r="AD806" s="10"/>
      <c r="AE806" s="10"/>
      <c r="AF806" s="10"/>
    </row>
    <row r="807" spans="1:32"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0"/>
      <c r="AC807" s="10"/>
      <c r="AD807" s="10"/>
      <c r="AE807" s="10"/>
      <c r="AF807" s="10"/>
    </row>
    <row r="808" spans="1:32"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0"/>
      <c r="AC808" s="10"/>
      <c r="AD808" s="10"/>
      <c r="AE808" s="10"/>
      <c r="AF808" s="10"/>
    </row>
    <row r="809" spans="1:32"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0"/>
      <c r="AC809" s="10"/>
      <c r="AD809" s="10"/>
      <c r="AE809" s="10"/>
      <c r="AF809" s="10"/>
    </row>
    <row r="810" spans="1:32"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0"/>
      <c r="AC810" s="10"/>
      <c r="AD810" s="10"/>
      <c r="AE810" s="10"/>
      <c r="AF810" s="10"/>
    </row>
    <row r="811" spans="1:32"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0"/>
      <c r="AC811" s="10"/>
      <c r="AD811" s="10"/>
      <c r="AE811" s="10"/>
      <c r="AF811" s="10"/>
    </row>
    <row r="812" spans="1:32"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0"/>
      <c r="AC812" s="10"/>
      <c r="AD812" s="10"/>
      <c r="AE812" s="10"/>
      <c r="AF812" s="10"/>
    </row>
    <row r="813" spans="1:32"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0"/>
      <c r="AC813" s="10"/>
      <c r="AD813" s="10"/>
      <c r="AE813" s="10"/>
      <c r="AF813" s="10"/>
    </row>
    <row r="814" spans="1:32"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0"/>
      <c r="AC814" s="10"/>
      <c r="AD814" s="10"/>
      <c r="AE814" s="10"/>
      <c r="AF814" s="10"/>
    </row>
    <row r="815" spans="1:32"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0"/>
      <c r="AC815" s="10"/>
      <c r="AD815" s="10"/>
      <c r="AE815" s="10"/>
      <c r="AF815" s="10"/>
    </row>
    <row r="816" spans="1:32"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0"/>
      <c r="AC816" s="10"/>
      <c r="AD816" s="10"/>
      <c r="AE816" s="10"/>
      <c r="AF816" s="10"/>
    </row>
    <row r="817" spans="1:32"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0"/>
      <c r="AC817" s="10"/>
      <c r="AD817" s="10"/>
      <c r="AE817" s="10"/>
      <c r="AF817" s="10"/>
    </row>
    <row r="818" spans="1:32"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0"/>
      <c r="AC818" s="10"/>
      <c r="AD818" s="10"/>
      <c r="AE818" s="10"/>
      <c r="AF818" s="10"/>
    </row>
    <row r="819" spans="1:32"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0"/>
      <c r="AC819" s="10"/>
      <c r="AD819" s="10"/>
      <c r="AE819" s="10"/>
      <c r="AF819" s="10"/>
    </row>
    <row r="820" spans="1:32"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0"/>
      <c r="AC820" s="10"/>
      <c r="AD820" s="10"/>
      <c r="AE820" s="10"/>
      <c r="AF820" s="10"/>
    </row>
    <row r="821" spans="1:32"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0"/>
      <c r="AC821" s="10"/>
      <c r="AD821" s="10"/>
      <c r="AE821" s="10"/>
      <c r="AF821" s="10"/>
    </row>
    <row r="822" spans="1:32"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0"/>
      <c r="AC822" s="10"/>
      <c r="AD822" s="10"/>
      <c r="AE822" s="10"/>
      <c r="AF822" s="10"/>
    </row>
    <row r="823" spans="1:32"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0"/>
      <c r="AC823" s="10"/>
      <c r="AD823" s="10"/>
      <c r="AE823" s="10"/>
      <c r="AF823" s="10"/>
    </row>
    <row r="824" spans="1:32"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0"/>
      <c r="AC824" s="10"/>
      <c r="AD824" s="10"/>
      <c r="AE824" s="10"/>
      <c r="AF824" s="10"/>
    </row>
    <row r="825" spans="1:32"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0"/>
      <c r="AC825" s="10"/>
      <c r="AD825" s="10"/>
      <c r="AE825" s="10"/>
      <c r="AF825" s="10"/>
    </row>
    <row r="826" spans="1:32"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0"/>
      <c r="AC826" s="10"/>
      <c r="AD826" s="10"/>
      <c r="AE826" s="10"/>
      <c r="AF826" s="10"/>
    </row>
    <row r="827" spans="1:32"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0"/>
      <c r="AC827" s="10"/>
      <c r="AD827" s="10"/>
      <c r="AE827" s="10"/>
      <c r="AF827" s="10"/>
    </row>
    <row r="828" spans="1:32"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0"/>
      <c r="AC828" s="10"/>
      <c r="AD828" s="10"/>
      <c r="AE828" s="10"/>
      <c r="AF828" s="10"/>
    </row>
    <row r="829" spans="1:32"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0"/>
      <c r="AC829" s="10"/>
      <c r="AD829" s="10"/>
      <c r="AE829" s="10"/>
      <c r="AF829" s="10"/>
    </row>
    <row r="830" spans="1:32"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0"/>
      <c r="AC830" s="10"/>
      <c r="AD830" s="10"/>
      <c r="AE830" s="10"/>
      <c r="AF830" s="10"/>
    </row>
    <row r="831" spans="1:32"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0"/>
      <c r="AC831" s="10"/>
      <c r="AD831" s="10"/>
      <c r="AE831" s="10"/>
      <c r="AF831" s="10"/>
    </row>
    <row r="832" spans="1:32"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0"/>
      <c r="AC832" s="10"/>
      <c r="AD832" s="10"/>
      <c r="AE832" s="10"/>
      <c r="AF832" s="10"/>
    </row>
    <row r="833" spans="1:32"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0"/>
      <c r="AC833" s="10"/>
      <c r="AD833" s="10"/>
      <c r="AE833" s="10"/>
      <c r="AF833" s="10"/>
    </row>
    <row r="834" spans="1:32"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0"/>
      <c r="AC834" s="10"/>
      <c r="AD834" s="10"/>
      <c r="AE834" s="10"/>
      <c r="AF834" s="10"/>
    </row>
    <row r="835" spans="1:32"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0"/>
      <c r="AC835" s="10"/>
      <c r="AD835" s="10"/>
      <c r="AE835" s="10"/>
      <c r="AF835" s="10"/>
    </row>
    <row r="836" spans="1:32"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0"/>
      <c r="AC836" s="10"/>
      <c r="AD836" s="10"/>
      <c r="AE836" s="10"/>
      <c r="AF836" s="10"/>
    </row>
    <row r="837" spans="1:32"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0"/>
      <c r="AC837" s="10"/>
      <c r="AD837" s="10"/>
      <c r="AE837" s="10"/>
      <c r="AF837" s="10"/>
    </row>
    <row r="838" spans="1:32"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0"/>
      <c r="AC838" s="10"/>
      <c r="AD838" s="10"/>
      <c r="AE838" s="10"/>
      <c r="AF838" s="10"/>
    </row>
    <row r="839" spans="1:32"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0"/>
      <c r="AC839" s="10"/>
      <c r="AD839" s="10"/>
      <c r="AE839" s="10"/>
      <c r="AF839" s="10"/>
    </row>
    <row r="840" spans="1:32"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0"/>
      <c r="AC840" s="10"/>
      <c r="AD840" s="10"/>
      <c r="AE840" s="10"/>
      <c r="AF840" s="10"/>
    </row>
    <row r="841" spans="1:32"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0"/>
      <c r="AC841" s="10"/>
      <c r="AD841" s="10"/>
      <c r="AE841" s="10"/>
      <c r="AF841" s="10"/>
    </row>
    <row r="842" spans="1:32"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0"/>
      <c r="AC842" s="10"/>
      <c r="AD842" s="10"/>
      <c r="AE842" s="10"/>
      <c r="AF842" s="10"/>
    </row>
    <row r="843" spans="1:32"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0"/>
      <c r="AC843" s="10"/>
      <c r="AD843" s="10"/>
      <c r="AE843" s="10"/>
      <c r="AF843" s="10"/>
    </row>
    <row r="844" spans="1:32"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0"/>
      <c r="AC844" s="10"/>
      <c r="AD844" s="10"/>
      <c r="AE844" s="10"/>
      <c r="AF844" s="10"/>
    </row>
    <row r="845" spans="1:32"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0"/>
      <c r="AC845" s="10"/>
      <c r="AD845" s="10"/>
      <c r="AE845" s="10"/>
      <c r="AF845" s="10"/>
    </row>
    <row r="846" spans="1:32"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0"/>
      <c r="AC846" s="10"/>
      <c r="AD846" s="10"/>
      <c r="AE846" s="10"/>
      <c r="AF846" s="10"/>
    </row>
    <row r="847" spans="1:32"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0"/>
      <c r="AC847" s="10"/>
      <c r="AD847" s="10"/>
      <c r="AE847" s="10"/>
      <c r="AF847" s="10"/>
    </row>
    <row r="848" spans="1:32"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0"/>
      <c r="AC848" s="10"/>
      <c r="AD848" s="10"/>
      <c r="AE848" s="10"/>
      <c r="AF848" s="10"/>
    </row>
    <row r="849" spans="1:32"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0"/>
      <c r="AC849" s="10"/>
      <c r="AD849" s="10"/>
      <c r="AE849" s="10"/>
      <c r="AF849" s="10"/>
    </row>
    <row r="850" spans="1:32"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0"/>
      <c r="AC850" s="10"/>
      <c r="AD850" s="10"/>
      <c r="AE850" s="10"/>
      <c r="AF850" s="10"/>
    </row>
    <row r="851" spans="1:32"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0"/>
      <c r="AC851" s="10"/>
      <c r="AD851" s="10"/>
      <c r="AE851" s="10"/>
      <c r="AF851" s="10"/>
    </row>
    <row r="852" spans="1:32"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0"/>
      <c r="AC852" s="10"/>
      <c r="AD852" s="10"/>
      <c r="AE852" s="10"/>
      <c r="AF852" s="10"/>
    </row>
    <row r="853" spans="1:32"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0"/>
      <c r="AC853" s="10"/>
      <c r="AD853" s="10"/>
      <c r="AE853" s="10"/>
      <c r="AF853" s="10"/>
    </row>
    <row r="854" spans="1:32"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0"/>
      <c r="AC854" s="10"/>
      <c r="AD854" s="10"/>
      <c r="AE854" s="10"/>
      <c r="AF854" s="10"/>
    </row>
    <row r="855" spans="1:32"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0"/>
      <c r="AC855" s="10"/>
      <c r="AD855" s="10"/>
      <c r="AE855" s="10"/>
      <c r="AF855" s="10"/>
    </row>
    <row r="856" spans="1:32"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0"/>
      <c r="AC856" s="10"/>
      <c r="AD856" s="10"/>
      <c r="AE856" s="10"/>
      <c r="AF856" s="10"/>
    </row>
    <row r="857" spans="1:32"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0"/>
      <c r="AC857" s="10"/>
      <c r="AD857" s="10"/>
      <c r="AE857" s="10"/>
      <c r="AF857" s="10"/>
    </row>
    <row r="858" spans="1:32"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0"/>
      <c r="AC858" s="10"/>
      <c r="AD858" s="10"/>
      <c r="AE858" s="10"/>
      <c r="AF858" s="10"/>
    </row>
    <row r="859" spans="1:32"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0"/>
      <c r="AC859" s="10"/>
      <c r="AD859" s="10"/>
      <c r="AE859" s="10"/>
      <c r="AF859" s="10"/>
    </row>
    <row r="860" spans="1:32"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0"/>
      <c r="AC860" s="10"/>
      <c r="AD860" s="10"/>
      <c r="AE860" s="10"/>
      <c r="AF860" s="10"/>
    </row>
    <row r="861" spans="1:32"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0"/>
      <c r="AC861" s="10"/>
      <c r="AD861" s="10"/>
      <c r="AE861" s="10"/>
      <c r="AF861" s="10"/>
    </row>
    <row r="862" spans="1:32"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0"/>
      <c r="AC862" s="10"/>
      <c r="AD862" s="10"/>
      <c r="AE862" s="10"/>
      <c r="AF862" s="10"/>
    </row>
    <row r="863" spans="1:32"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0"/>
      <c r="AC863" s="10"/>
      <c r="AD863" s="10"/>
      <c r="AE863" s="10"/>
      <c r="AF863" s="10"/>
    </row>
    <row r="864" spans="1:32"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0"/>
      <c r="AC864" s="10"/>
      <c r="AD864" s="10"/>
      <c r="AE864" s="10"/>
      <c r="AF864" s="10"/>
    </row>
    <row r="865" spans="1:32"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0"/>
      <c r="AC865" s="10"/>
      <c r="AD865" s="10"/>
      <c r="AE865" s="10"/>
      <c r="AF865" s="10"/>
    </row>
    <row r="866" spans="1:32"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0"/>
      <c r="AC866" s="10"/>
      <c r="AD866" s="10"/>
      <c r="AE866" s="10"/>
      <c r="AF866" s="10"/>
    </row>
    <row r="867" spans="1:32"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0"/>
      <c r="AC867" s="10"/>
      <c r="AD867" s="10"/>
      <c r="AE867" s="10"/>
      <c r="AF867" s="10"/>
    </row>
    <row r="868" spans="1:32"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0"/>
      <c r="AC868" s="10"/>
      <c r="AD868" s="10"/>
      <c r="AE868" s="10"/>
      <c r="AF868" s="10"/>
    </row>
    <row r="869" spans="1:32"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0"/>
      <c r="AC869" s="10"/>
      <c r="AD869" s="10"/>
      <c r="AE869" s="10"/>
      <c r="AF869" s="10"/>
    </row>
    <row r="870" spans="1:32"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0"/>
      <c r="AC870" s="10"/>
      <c r="AD870" s="10"/>
      <c r="AE870" s="10"/>
      <c r="AF870" s="10"/>
    </row>
    <row r="871" spans="1:32"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0"/>
      <c r="AC871" s="10"/>
      <c r="AD871" s="10"/>
      <c r="AE871" s="10"/>
      <c r="AF871" s="10"/>
    </row>
    <row r="872" spans="1:32"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0"/>
      <c r="AC872" s="10"/>
      <c r="AD872" s="10"/>
      <c r="AE872" s="10"/>
      <c r="AF872" s="10"/>
    </row>
    <row r="873" spans="1:32"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0"/>
      <c r="AC873" s="10"/>
      <c r="AD873" s="10"/>
      <c r="AE873" s="10"/>
      <c r="AF873" s="10"/>
    </row>
    <row r="874" spans="1:32"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0"/>
      <c r="AC874" s="10"/>
      <c r="AD874" s="10"/>
      <c r="AE874" s="10"/>
      <c r="AF874" s="10"/>
    </row>
    <row r="875" spans="1:32"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0"/>
      <c r="AC875" s="10"/>
      <c r="AD875" s="10"/>
      <c r="AE875" s="10"/>
      <c r="AF875" s="10"/>
    </row>
    <row r="876" spans="1:32"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0"/>
      <c r="AC876" s="10"/>
      <c r="AD876" s="10"/>
      <c r="AE876" s="10"/>
      <c r="AF876" s="10"/>
    </row>
    <row r="877" spans="1:32"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0"/>
      <c r="AC877" s="10"/>
      <c r="AD877" s="10"/>
      <c r="AE877" s="10"/>
      <c r="AF877" s="10"/>
    </row>
    <row r="878" spans="1:32"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0"/>
      <c r="AC878" s="10"/>
      <c r="AD878" s="10"/>
      <c r="AE878" s="10"/>
      <c r="AF878" s="10"/>
    </row>
    <row r="879" spans="1:32"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0"/>
      <c r="AC879" s="10"/>
      <c r="AD879" s="10"/>
      <c r="AE879" s="10"/>
      <c r="AF879" s="10"/>
    </row>
    <row r="880" spans="1:32"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0"/>
      <c r="AC880" s="10"/>
      <c r="AD880" s="10"/>
      <c r="AE880" s="10"/>
      <c r="AF880" s="10"/>
    </row>
    <row r="881" spans="1:32"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0"/>
      <c r="AC881" s="10"/>
      <c r="AD881" s="10"/>
      <c r="AE881" s="10"/>
      <c r="AF881" s="10"/>
    </row>
    <row r="882" spans="1:32"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0"/>
      <c r="AC882" s="10"/>
      <c r="AD882" s="10"/>
      <c r="AE882" s="10"/>
      <c r="AF882" s="10"/>
    </row>
    <row r="883" spans="1:32"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0"/>
      <c r="AC883" s="10"/>
      <c r="AD883" s="10"/>
      <c r="AE883" s="10"/>
      <c r="AF883" s="10"/>
    </row>
    <row r="884" spans="1:32"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0"/>
      <c r="AC884" s="10"/>
      <c r="AD884" s="10"/>
      <c r="AE884" s="10"/>
      <c r="AF884" s="10"/>
    </row>
    <row r="885" spans="1:32"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0"/>
      <c r="AC885" s="10"/>
      <c r="AD885" s="10"/>
      <c r="AE885" s="10"/>
      <c r="AF885" s="10"/>
    </row>
    <row r="886" spans="1:32"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0"/>
      <c r="AC886" s="10"/>
      <c r="AD886" s="10"/>
      <c r="AE886" s="10"/>
      <c r="AF886" s="10"/>
    </row>
    <row r="887" spans="1:32"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0"/>
      <c r="AC887" s="10"/>
      <c r="AD887" s="10"/>
      <c r="AE887" s="10"/>
      <c r="AF887" s="10"/>
    </row>
    <row r="888" spans="1:32"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0"/>
      <c r="AC888" s="10"/>
      <c r="AD888" s="10"/>
      <c r="AE888" s="10"/>
      <c r="AF888" s="10"/>
    </row>
    <row r="889" spans="1:32"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0"/>
      <c r="AC889" s="10"/>
      <c r="AD889" s="10"/>
      <c r="AE889" s="10"/>
      <c r="AF889" s="10"/>
    </row>
    <row r="890" spans="1:32"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0"/>
      <c r="AC890" s="10"/>
      <c r="AD890" s="10"/>
      <c r="AE890" s="10"/>
      <c r="AF890" s="10"/>
    </row>
    <row r="891" spans="1:32"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0"/>
      <c r="AC891" s="10"/>
      <c r="AD891" s="10"/>
      <c r="AE891" s="10"/>
      <c r="AF891" s="10"/>
    </row>
    <row r="892" spans="1:32"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0"/>
      <c r="AC892" s="10"/>
      <c r="AD892" s="10"/>
      <c r="AE892" s="10"/>
      <c r="AF892" s="10"/>
    </row>
    <row r="893" spans="1:32"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0"/>
      <c r="AC893" s="10"/>
      <c r="AD893" s="10"/>
      <c r="AE893" s="10"/>
      <c r="AF893" s="10"/>
    </row>
    <row r="894" spans="1:32"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0"/>
      <c r="AC894" s="10"/>
      <c r="AD894" s="10"/>
      <c r="AE894" s="10"/>
      <c r="AF894" s="10"/>
    </row>
    <row r="895" spans="1:32"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0"/>
      <c r="AC895" s="10"/>
      <c r="AD895" s="10"/>
      <c r="AE895" s="10"/>
      <c r="AF895" s="10"/>
    </row>
    <row r="896" spans="1:32"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0"/>
      <c r="AC896" s="10"/>
      <c r="AD896" s="10"/>
      <c r="AE896" s="10"/>
      <c r="AF896" s="10"/>
    </row>
    <row r="897" spans="1:32"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0"/>
      <c r="AC897" s="10"/>
      <c r="AD897" s="10"/>
      <c r="AE897" s="10"/>
      <c r="AF897" s="10"/>
    </row>
    <row r="898" spans="1:32"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0"/>
      <c r="AC898" s="10"/>
      <c r="AD898" s="10"/>
      <c r="AE898" s="10"/>
      <c r="AF898" s="10"/>
    </row>
    <row r="899" spans="1:32"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0"/>
      <c r="AC899" s="10"/>
      <c r="AD899" s="10"/>
      <c r="AE899" s="10"/>
      <c r="AF899" s="10"/>
    </row>
    <row r="900" spans="1:32"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0"/>
      <c r="AC900" s="10"/>
      <c r="AD900" s="10"/>
      <c r="AE900" s="10"/>
      <c r="AF900" s="10"/>
    </row>
    <row r="901" spans="1:32"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0"/>
      <c r="AC901" s="10"/>
      <c r="AD901" s="10"/>
      <c r="AE901" s="10"/>
      <c r="AF901" s="10"/>
    </row>
    <row r="902" spans="1:32"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0"/>
      <c r="AC902" s="10"/>
      <c r="AD902" s="10"/>
      <c r="AE902" s="10"/>
      <c r="AF902" s="10"/>
    </row>
    <row r="903" spans="1:32"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0"/>
      <c r="AC903" s="10"/>
      <c r="AD903" s="10"/>
      <c r="AE903" s="10"/>
      <c r="AF903" s="10"/>
    </row>
    <row r="904" spans="1:32"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0"/>
      <c r="AC904" s="10"/>
      <c r="AD904" s="10"/>
      <c r="AE904" s="10"/>
      <c r="AF904" s="10"/>
    </row>
    <row r="905" spans="1:32"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0"/>
      <c r="AC905" s="10"/>
      <c r="AD905" s="10"/>
      <c r="AE905" s="10"/>
      <c r="AF905" s="10"/>
    </row>
    <row r="906" spans="1:32"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0"/>
      <c r="AC906" s="10"/>
      <c r="AD906" s="10"/>
      <c r="AE906" s="10"/>
      <c r="AF906" s="10"/>
    </row>
    <row r="907" spans="1:32"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0"/>
      <c r="AC907" s="10"/>
      <c r="AD907" s="10"/>
      <c r="AE907" s="10"/>
      <c r="AF907" s="10"/>
    </row>
    <row r="908" spans="1:32"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0"/>
      <c r="AC908" s="10"/>
      <c r="AD908" s="10"/>
      <c r="AE908" s="10"/>
      <c r="AF908" s="10"/>
    </row>
    <row r="909" spans="1:32"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0"/>
      <c r="AC909" s="10"/>
      <c r="AD909" s="10"/>
      <c r="AE909" s="10"/>
      <c r="AF909" s="10"/>
    </row>
    <row r="910" spans="1:32"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0"/>
      <c r="AC910" s="10"/>
      <c r="AD910" s="10"/>
      <c r="AE910" s="10"/>
      <c r="AF910" s="10"/>
    </row>
    <row r="911" spans="1:32"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0"/>
      <c r="AC911" s="10"/>
      <c r="AD911" s="10"/>
      <c r="AE911" s="10"/>
      <c r="AF911" s="10"/>
    </row>
    <row r="912" spans="1:32"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0"/>
      <c r="AC912" s="10"/>
      <c r="AD912" s="10"/>
      <c r="AE912" s="10"/>
      <c r="AF912" s="10"/>
    </row>
    <row r="913" spans="1:32"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0"/>
      <c r="AC913" s="10"/>
      <c r="AD913" s="10"/>
      <c r="AE913" s="10"/>
      <c r="AF913" s="10"/>
    </row>
    <row r="914" spans="1:32"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0"/>
      <c r="AC914" s="10"/>
      <c r="AD914" s="10"/>
      <c r="AE914" s="10"/>
      <c r="AF914" s="10"/>
    </row>
    <row r="915" spans="1:32"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0"/>
      <c r="AC915" s="10"/>
      <c r="AD915" s="10"/>
      <c r="AE915" s="10"/>
      <c r="AF915" s="10"/>
    </row>
    <row r="916" spans="1:32"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0"/>
      <c r="AC916" s="10"/>
      <c r="AD916" s="10"/>
      <c r="AE916" s="10"/>
      <c r="AF916" s="10"/>
    </row>
    <row r="917" spans="1:32"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0"/>
      <c r="AC917" s="10"/>
      <c r="AD917" s="10"/>
      <c r="AE917" s="10"/>
      <c r="AF917" s="10"/>
    </row>
    <row r="918" spans="1:32"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0"/>
      <c r="AC918" s="10"/>
      <c r="AD918" s="10"/>
      <c r="AE918" s="10"/>
      <c r="AF918" s="10"/>
    </row>
    <row r="919" spans="1:32"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0"/>
      <c r="AC919" s="10"/>
      <c r="AD919" s="10"/>
      <c r="AE919" s="10"/>
      <c r="AF919" s="10"/>
    </row>
    <row r="920" spans="1:32"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0"/>
      <c r="AC920" s="10"/>
      <c r="AD920" s="10"/>
      <c r="AE920" s="10"/>
      <c r="AF920" s="10"/>
    </row>
  </sheetData>
  <mergeCells count="56">
    <mergeCell ref="S8:S9"/>
    <mergeCell ref="C3:AM4"/>
    <mergeCell ref="C5:C7"/>
    <mergeCell ref="D5:D7"/>
    <mergeCell ref="E5:E7"/>
    <mergeCell ref="F5:F7"/>
    <mergeCell ref="G5:G7"/>
    <mergeCell ref="H5:H7"/>
    <mergeCell ref="I5:I7"/>
    <mergeCell ref="J5:J7"/>
    <mergeCell ref="K5:K7"/>
    <mergeCell ref="L5:L7"/>
    <mergeCell ref="M5:M7"/>
    <mergeCell ref="N5:N7"/>
    <mergeCell ref="O5:O7"/>
    <mergeCell ref="P5:P7"/>
    <mergeCell ref="Q5:Q7"/>
    <mergeCell ref="R16:R17"/>
    <mergeCell ref="J8:J9"/>
    <mergeCell ref="R8:R9"/>
    <mergeCell ref="H16:H17"/>
    <mergeCell ref="J16:J17"/>
    <mergeCell ref="R5:R7"/>
    <mergeCell ref="R11:R12"/>
    <mergeCell ref="K8:K9"/>
    <mergeCell ref="P8:P9"/>
    <mergeCell ref="H11:H12"/>
    <mergeCell ref="H8:H9"/>
    <mergeCell ref="I8:I9"/>
    <mergeCell ref="K16:K17"/>
    <mergeCell ref="Q16:Q17"/>
    <mergeCell ref="O8:O22"/>
    <mergeCell ref="S5:S7"/>
    <mergeCell ref="T5:AM5"/>
    <mergeCell ref="T6:W6"/>
    <mergeCell ref="X6:AA6"/>
    <mergeCell ref="AB6:AE6"/>
    <mergeCell ref="AF6:AI6"/>
    <mergeCell ref="AJ6:AM6"/>
    <mergeCell ref="C16:C17"/>
    <mergeCell ref="E16:E17"/>
    <mergeCell ref="C8:C9"/>
    <mergeCell ref="D8:D9"/>
    <mergeCell ref="G8:G9"/>
    <mergeCell ref="D16:D17"/>
    <mergeCell ref="C11:C12"/>
    <mergeCell ref="D11:D12"/>
    <mergeCell ref="G11:G12"/>
    <mergeCell ref="Q8:Q9"/>
    <mergeCell ref="F16:F17"/>
    <mergeCell ref="G16:G17"/>
    <mergeCell ref="I11:I12"/>
    <mergeCell ref="J11:J12"/>
    <mergeCell ref="K11:K12"/>
    <mergeCell ref="Q11:Q12"/>
    <mergeCell ref="I16:I1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C61AA-863F-4B78-88AF-0D1455552D5B}">
  <dimension ref="A2:BE218"/>
  <sheetViews>
    <sheetView topLeftCell="AF191" zoomScale="80" zoomScaleNormal="80" workbookViewId="0">
      <selection activeCell="AN193" sqref="AN193"/>
    </sheetView>
  </sheetViews>
  <sheetFormatPr baseColWidth="10" defaultColWidth="10" defaultRowHeight="15.75" x14ac:dyDescent="0.25"/>
  <cols>
    <col min="1" max="1" width="12.625" style="85" bestFit="1" customWidth="1"/>
    <col min="2" max="2" width="13.875" style="85" customWidth="1"/>
    <col min="3" max="4" width="10" style="85" customWidth="1"/>
    <col min="5" max="5" width="24.875" style="85" customWidth="1"/>
    <col min="6" max="6" width="15.5" style="85" customWidth="1"/>
    <col min="7" max="7" width="17.25" style="85" customWidth="1"/>
    <col min="8" max="8" width="18.75" style="85" customWidth="1"/>
    <col min="9" max="9" width="10" style="85" customWidth="1"/>
    <col min="10" max="10" width="12.5" style="85" customWidth="1"/>
    <col min="11" max="11" width="11.875" style="85" customWidth="1"/>
    <col min="12" max="12" width="30.125" style="85" customWidth="1"/>
    <col min="13" max="13" width="9.625" style="85" customWidth="1"/>
    <col min="14" max="14" width="12" style="85" customWidth="1"/>
    <col min="15" max="15" width="13.875" style="85" customWidth="1"/>
    <col min="16" max="16" width="18.375" style="85" customWidth="1"/>
    <col min="17" max="17" width="10" style="85" customWidth="1"/>
    <col min="18" max="18" width="5.25" style="85" customWidth="1"/>
    <col min="19" max="19" width="10" style="85" customWidth="1"/>
    <col min="20" max="20" width="14.75" style="85" customWidth="1"/>
    <col min="21" max="21" width="39" style="85" customWidth="1"/>
    <col min="22" max="22" width="14.75" style="85" customWidth="1"/>
    <col min="23" max="23" width="40" style="85" customWidth="1"/>
    <col min="24" max="24" width="10.125" style="85" customWidth="1"/>
    <col min="25" max="25" width="18.875" style="85" customWidth="1"/>
    <col min="26" max="26" width="22.75" style="85" customWidth="1"/>
    <col min="27" max="27" width="12.875" style="85" customWidth="1"/>
    <col min="28" max="28" width="10" style="85"/>
    <col min="29" max="29" width="12.25" style="85" customWidth="1"/>
    <col min="30" max="30" width="12.5" style="85" customWidth="1"/>
    <col min="31" max="31" width="14.625" style="85" bestFit="1" customWidth="1"/>
    <col min="32" max="32" width="30.875" style="85" customWidth="1"/>
    <col min="33" max="33" width="32.75" style="85" customWidth="1"/>
    <col min="34" max="34" width="11.875" style="85" customWidth="1"/>
    <col min="35" max="35" width="19.125" style="85" customWidth="1"/>
    <col min="36" max="36" width="14.375" style="85" customWidth="1"/>
    <col min="37" max="37" width="19.125" style="86" customWidth="1"/>
    <col min="38" max="38" width="16.375" style="87" customWidth="1"/>
    <col min="39" max="39" width="19.25" style="85" customWidth="1"/>
    <col min="40" max="40" width="14" style="85" bestFit="1" customWidth="1"/>
    <col min="41" max="42" width="10" style="85"/>
    <col min="43" max="43" width="16" style="85" customWidth="1"/>
    <col min="44" max="44" width="13.25" style="85" customWidth="1"/>
    <col min="45" max="45" width="13.5" style="85" customWidth="1"/>
    <col min="46" max="46" width="14" style="85" customWidth="1"/>
    <col min="47" max="47" width="24.875" style="85" customWidth="1"/>
    <col min="48" max="48" width="13.75" style="85" customWidth="1"/>
    <col min="49" max="49" width="13.125" style="85" customWidth="1"/>
    <col min="50" max="50" width="12.625" style="85" customWidth="1"/>
    <col min="51" max="51" width="25.75" style="85" customWidth="1"/>
    <col min="52" max="52" width="21.375" style="85" customWidth="1"/>
    <col min="53" max="53" width="16.375" style="85" customWidth="1"/>
    <col min="54" max="54" width="13.75" style="85" customWidth="1"/>
    <col min="55" max="55" width="16.25" style="85" customWidth="1"/>
    <col min="56" max="56" width="14.125" style="85" customWidth="1"/>
    <col min="57" max="16384" width="10" style="85"/>
  </cols>
  <sheetData>
    <row r="2" spans="1:57" ht="27" x14ac:dyDescent="0.25">
      <c r="A2" s="372" t="s">
        <v>144</v>
      </c>
      <c r="B2" s="373"/>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4"/>
    </row>
    <row r="3" spans="1:57" ht="27" x14ac:dyDescent="0.25">
      <c r="A3" s="375" t="s">
        <v>145</v>
      </c>
      <c r="B3" s="376"/>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7"/>
    </row>
    <row r="4" spans="1:57" ht="31.5" customHeight="1" thickBot="1" x14ac:dyDescent="0.3">
      <c r="A4" s="378" t="s">
        <v>146</v>
      </c>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80"/>
    </row>
    <row r="5" spans="1:57" x14ac:dyDescent="0.25">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row>
    <row r="6" spans="1:57" ht="15.75" hidden="1" customHeight="1" x14ac:dyDescent="0.25">
      <c r="A6" s="381" t="s">
        <v>11</v>
      </c>
      <c r="B6" s="382"/>
      <c r="C6" s="382"/>
      <c r="D6" s="381" t="s">
        <v>147</v>
      </c>
      <c r="E6" s="382"/>
      <c r="F6" s="382"/>
      <c r="G6" s="382"/>
      <c r="H6" s="382"/>
      <c r="I6" s="382"/>
      <c r="J6" s="382"/>
      <c r="K6" s="382"/>
      <c r="L6" s="382"/>
      <c r="M6" s="382"/>
      <c r="N6" s="382"/>
      <c r="O6" s="382"/>
      <c r="P6" s="387"/>
      <c r="T6" s="381" t="s">
        <v>11</v>
      </c>
      <c r="U6" s="382"/>
      <c r="V6" s="387"/>
      <c r="W6" s="381" t="s">
        <v>148</v>
      </c>
      <c r="X6" s="382"/>
      <c r="Y6" s="382"/>
      <c r="Z6" s="382"/>
      <c r="AA6" s="382"/>
      <c r="AB6" s="382"/>
      <c r="AC6" s="382"/>
      <c r="AD6" s="382"/>
      <c r="AE6" s="382"/>
      <c r="AF6" s="382"/>
      <c r="AG6" s="382"/>
      <c r="AH6" s="382"/>
      <c r="AI6" s="382"/>
      <c r="AJ6" s="382"/>
      <c r="AK6" s="382"/>
      <c r="AL6" s="382"/>
      <c r="AM6" s="387"/>
      <c r="AP6" s="381" t="s">
        <v>11</v>
      </c>
      <c r="AQ6" s="382"/>
      <c r="AR6" s="382"/>
      <c r="AS6" s="381" t="s">
        <v>149</v>
      </c>
      <c r="AT6" s="382"/>
      <c r="AU6" s="382"/>
      <c r="AV6" s="382"/>
      <c r="AW6" s="382"/>
      <c r="AX6" s="382"/>
      <c r="AY6" s="382"/>
      <c r="AZ6" s="382"/>
      <c r="BA6" s="382"/>
      <c r="BB6" s="382"/>
      <c r="BC6" s="382"/>
      <c r="BD6" s="382"/>
      <c r="BE6" s="387"/>
    </row>
    <row r="7" spans="1:57" ht="15.75" hidden="1" customHeight="1" x14ac:dyDescent="0.25">
      <c r="A7" s="383"/>
      <c r="B7" s="384"/>
      <c r="C7" s="384"/>
      <c r="D7" s="383"/>
      <c r="E7" s="384"/>
      <c r="F7" s="384"/>
      <c r="G7" s="384"/>
      <c r="H7" s="384"/>
      <c r="I7" s="384"/>
      <c r="J7" s="384"/>
      <c r="K7" s="384"/>
      <c r="L7" s="384"/>
      <c r="M7" s="384"/>
      <c r="N7" s="384"/>
      <c r="O7" s="384"/>
      <c r="P7" s="388"/>
      <c r="T7" s="383"/>
      <c r="U7" s="384"/>
      <c r="V7" s="388"/>
      <c r="W7" s="383"/>
      <c r="X7" s="384"/>
      <c r="Y7" s="384"/>
      <c r="Z7" s="384"/>
      <c r="AA7" s="384"/>
      <c r="AB7" s="384"/>
      <c r="AC7" s="384"/>
      <c r="AD7" s="384"/>
      <c r="AE7" s="384"/>
      <c r="AF7" s="384"/>
      <c r="AG7" s="384"/>
      <c r="AH7" s="384"/>
      <c r="AI7" s="384"/>
      <c r="AJ7" s="384"/>
      <c r="AK7" s="384"/>
      <c r="AL7" s="384"/>
      <c r="AM7" s="388"/>
      <c r="AP7" s="383"/>
      <c r="AQ7" s="384"/>
      <c r="AR7" s="384"/>
      <c r="AS7" s="383"/>
      <c r="AT7" s="384"/>
      <c r="AU7" s="384"/>
      <c r="AV7" s="384"/>
      <c r="AW7" s="384"/>
      <c r="AX7" s="384"/>
      <c r="AY7" s="384"/>
      <c r="AZ7" s="384"/>
      <c r="BA7" s="384"/>
      <c r="BB7" s="384"/>
      <c r="BC7" s="384"/>
      <c r="BD7" s="384"/>
      <c r="BE7" s="388"/>
    </row>
    <row r="8" spans="1:57" ht="16.5" hidden="1" customHeight="1" thickBot="1" x14ac:dyDescent="0.3">
      <c r="A8" s="385"/>
      <c r="B8" s="386"/>
      <c r="C8" s="386"/>
      <c r="D8" s="385"/>
      <c r="E8" s="386"/>
      <c r="F8" s="386"/>
      <c r="G8" s="386"/>
      <c r="H8" s="386"/>
      <c r="I8" s="386"/>
      <c r="J8" s="386"/>
      <c r="K8" s="386"/>
      <c r="L8" s="386"/>
      <c r="M8" s="386"/>
      <c r="N8" s="386"/>
      <c r="O8" s="386"/>
      <c r="P8" s="389"/>
      <c r="T8" s="385"/>
      <c r="U8" s="386"/>
      <c r="V8" s="389"/>
      <c r="W8" s="385"/>
      <c r="X8" s="386"/>
      <c r="Y8" s="386"/>
      <c r="Z8" s="386"/>
      <c r="AA8" s="386"/>
      <c r="AB8" s="386"/>
      <c r="AC8" s="386"/>
      <c r="AD8" s="386"/>
      <c r="AE8" s="386"/>
      <c r="AF8" s="386"/>
      <c r="AG8" s="386"/>
      <c r="AH8" s="386"/>
      <c r="AI8" s="386"/>
      <c r="AJ8" s="386"/>
      <c r="AK8" s="386"/>
      <c r="AL8" s="386"/>
      <c r="AM8" s="389"/>
      <c r="AP8" s="385"/>
      <c r="AQ8" s="386"/>
      <c r="AR8" s="386"/>
      <c r="AS8" s="385"/>
      <c r="AT8" s="386"/>
      <c r="AU8" s="386"/>
      <c r="AV8" s="386"/>
      <c r="AW8" s="386"/>
      <c r="AX8" s="386"/>
      <c r="AY8" s="386"/>
      <c r="AZ8" s="386"/>
      <c r="BA8" s="386"/>
      <c r="BB8" s="386"/>
      <c r="BC8" s="386"/>
      <c r="BD8" s="386"/>
      <c r="BE8" s="389"/>
    </row>
    <row r="9" spans="1:57" ht="16.5" hidden="1" thickBot="1" x14ac:dyDescent="0.3"/>
    <row r="10" spans="1:57" ht="16.5" hidden="1" customHeight="1" thickBot="1" x14ac:dyDescent="0.3">
      <c r="A10" s="390">
        <v>2017</v>
      </c>
      <c r="B10" s="391"/>
      <c r="C10" s="391"/>
      <c r="D10" s="391"/>
      <c r="E10" s="391"/>
      <c r="F10" s="391"/>
      <c r="G10" s="391"/>
      <c r="H10" s="391"/>
      <c r="I10" s="391"/>
      <c r="J10" s="391"/>
      <c r="K10" s="391"/>
      <c r="L10" s="391"/>
      <c r="M10" s="391"/>
      <c r="N10" s="391"/>
      <c r="O10" s="391"/>
      <c r="P10" s="392"/>
      <c r="T10" s="393">
        <v>2018</v>
      </c>
      <c r="U10" s="394"/>
      <c r="V10" s="394"/>
      <c r="W10" s="394"/>
      <c r="X10" s="394"/>
      <c r="Y10" s="394"/>
      <c r="Z10" s="394"/>
      <c r="AA10" s="395"/>
      <c r="AC10" s="381" t="s">
        <v>150</v>
      </c>
      <c r="AD10" s="382"/>
      <c r="AE10" s="382"/>
      <c r="AF10" s="382"/>
      <c r="AG10" s="382"/>
      <c r="AH10" s="382"/>
      <c r="AI10" s="382"/>
      <c r="AJ10" s="382"/>
      <c r="AK10" s="382"/>
      <c r="AL10" s="382"/>
      <c r="AM10" s="387"/>
      <c r="AO10" s="390">
        <v>2018</v>
      </c>
      <c r="AP10" s="391"/>
      <c r="AQ10" s="391"/>
      <c r="AR10" s="391"/>
      <c r="AS10" s="391"/>
      <c r="AT10" s="391"/>
      <c r="AU10" s="391"/>
      <c r="AV10" s="391"/>
      <c r="AW10" s="391"/>
      <c r="AX10" s="391"/>
      <c r="AY10" s="391"/>
      <c r="AZ10" s="391"/>
      <c r="BA10" s="391"/>
      <c r="BB10" s="391"/>
      <c r="BC10" s="391"/>
      <c r="BD10" s="392"/>
    </row>
    <row r="11" spans="1:57" ht="16.5" hidden="1" thickBot="1" x14ac:dyDescent="0.3">
      <c r="A11" s="396" t="s">
        <v>151</v>
      </c>
      <c r="B11" s="397"/>
      <c r="C11" s="397"/>
      <c r="D11" s="397"/>
      <c r="E11" s="397"/>
      <c r="F11" s="397"/>
      <c r="G11" s="397"/>
      <c r="H11" s="398"/>
      <c r="I11" s="396" t="s">
        <v>152</v>
      </c>
      <c r="J11" s="397"/>
      <c r="K11" s="397"/>
      <c r="L11" s="397"/>
      <c r="M11" s="397"/>
      <c r="N11" s="397"/>
      <c r="O11" s="397"/>
      <c r="P11" s="398"/>
      <c r="T11" s="396" t="s">
        <v>151</v>
      </c>
      <c r="U11" s="397"/>
      <c r="V11" s="397"/>
      <c r="W11" s="397"/>
      <c r="X11" s="396" t="s">
        <v>152</v>
      </c>
      <c r="Y11" s="397"/>
      <c r="Z11" s="397"/>
      <c r="AA11" s="398"/>
      <c r="AC11" s="383"/>
      <c r="AD11" s="384"/>
      <c r="AE11" s="384"/>
      <c r="AF11" s="384"/>
      <c r="AG11" s="384"/>
      <c r="AH11" s="384"/>
      <c r="AI11" s="384"/>
      <c r="AJ11" s="384"/>
      <c r="AK11" s="384"/>
      <c r="AL11" s="384"/>
      <c r="AM11" s="388"/>
      <c r="AO11" s="396" t="s">
        <v>151</v>
      </c>
      <c r="AP11" s="397"/>
      <c r="AQ11" s="397"/>
      <c r="AR11" s="397"/>
      <c r="AS11" s="397"/>
      <c r="AT11" s="397"/>
      <c r="AU11" s="397"/>
      <c r="AV11" s="398"/>
      <c r="AW11" s="396" t="s">
        <v>152</v>
      </c>
      <c r="AX11" s="397"/>
      <c r="AY11" s="397"/>
      <c r="AZ11" s="397"/>
      <c r="BA11" s="397"/>
      <c r="BB11" s="397"/>
      <c r="BC11" s="397"/>
      <c r="BD11" s="398"/>
    </row>
    <row r="12" spans="1:57" ht="16.5" hidden="1" customHeight="1" thickBot="1" x14ac:dyDescent="0.3">
      <c r="A12" s="399" t="s">
        <v>153</v>
      </c>
      <c r="B12" s="400"/>
      <c r="C12" s="400"/>
      <c r="D12" s="400"/>
      <c r="E12" s="400"/>
      <c r="F12" s="400"/>
      <c r="G12" s="400"/>
      <c r="H12" s="401"/>
      <c r="I12" s="399" t="s">
        <v>154</v>
      </c>
      <c r="J12" s="400"/>
      <c r="K12" s="400"/>
      <c r="L12" s="400"/>
      <c r="M12" s="400"/>
      <c r="N12" s="400"/>
      <c r="O12" s="400"/>
      <c r="P12" s="401"/>
      <c r="T12" s="408" t="s">
        <v>155</v>
      </c>
      <c r="U12" s="409"/>
      <c r="V12" s="409"/>
      <c r="W12" s="410"/>
      <c r="X12" s="408" t="s">
        <v>156</v>
      </c>
      <c r="Y12" s="409"/>
      <c r="Z12" s="409"/>
      <c r="AA12" s="410"/>
      <c r="AC12" s="383"/>
      <c r="AD12" s="384"/>
      <c r="AE12" s="384"/>
      <c r="AF12" s="384"/>
      <c r="AG12" s="384"/>
      <c r="AH12" s="384"/>
      <c r="AI12" s="384"/>
      <c r="AJ12" s="384"/>
      <c r="AK12" s="384"/>
      <c r="AL12" s="384"/>
      <c r="AM12" s="388"/>
      <c r="AO12" s="408" t="s">
        <v>157</v>
      </c>
      <c r="AP12" s="409"/>
      <c r="AQ12" s="409"/>
      <c r="AR12" s="409"/>
      <c r="AS12" s="409"/>
      <c r="AT12" s="409"/>
      <c r="AU12" s="409"/>
      <c r="AV12" s="410"/>
      <c r="AW12" s="408" t="s">
        <v>156</v>
      </c>
      <c r="AX12" s="409"/>
      <c r="AY12" s="409"/>
      <c r="AZ12" s="409"/>
      <c r="BA12" s="409"/>
      <c r="BB12" s="409"/>
      <c r="BC12" s="409"/>
      <c r="BD12" s="410"/>
    </row>
    <row r="13" spans="1:57" ht="50.25" hidden="1" x14ac:dyDescent="0.25">
      <c r="A13" s="402"/>
      <c r="B13" s="403"/>
      <c r="C13" s="403"/>
      <c r="D13" s="403"/>
      <c r="E13" s="403"/>
      <c r="F13" s="403"/>
      <c r="G13" s="403"/>
      <c r="H13" s="404"/>
      <c r="I13" s="402"/>
      <c r="J13" s="403"/>
      <c r="K13" s="403"/>
      <c r="L13" s="403"/>
      <c r="M13" s="403"/>
      <c r="N13" s="403"/>
      <c r="O13" s="403"/>
      <c r="P13" s="404"/>
      <c r="T13" s="411"/>
      <c r="U13" s="412"/>
      <c r="V13" s="412"/>
      <c r="W13" s="413"/>
      <c r="X13" s="411"/>
      <c r="Y13" s="412"/>
      <c r="Z13" s="412"/>
      <c r="AA13" s="413"/>
      <c r="AC13" s="93" t="s">
        <v>158</v>
      </c>
      <c r="AD13" s="94" t="s">
        <v>159</v>
      </c>
      <c r="AE13" s="94" t="s">
        <v>160</v>
      </c>
      <c r="AF13" s="94" t="s">
        <v>161</v>
      </c>
      <c r="AG13" s="94" t="s">
        <v>162</v>
      </c>
      <c r="AH13" s="89" t="s">
        <v>163</v>
      </c>
      <c r="AI13" s="89" t="s">
        <v>164</v>
      </c>
      <c r="AJ13" s="89" t="s">
        <v>165</v>
      </c>
      <c r="AK13" s="95" t="s">
        <v>166</v>
      </c>
      <c r="AL13" s="89" t="s">
        <v>167</v>
      </c>
      <c r="AM13" s="90" t="s">
        <v>168</v>
      </c>
      <c r="AO13" s="411"/>
      <c r="AP13" s="412"/>
      <c r="AQ13" s="412"/>
      <c r="AR13" s="412"/>
      <c r="AS13" s="412"/>
      <c r="AT13" s="412"/>
      <c r="AU13" s="412"/>
      <c r="AV13" s="413"/>
      <c r="AW13" s="411"/>
      <c r="AX13" s="412"/>
      <c r="AY13" s="412"/>
      <c r="AZ13" s="412"/>
      <c r="BA13" s="412"/>
      <c r="BB13" s="412"/>
      <c r="BC13" s="412"/>
      <c r="BD13" s="413"/>
    </row>
    <row r="14" spans="1:57" hidden="1" x14ac:dyDescent="0.25">
      <c r="A14" s="402"/>
      <c r="B14" s="403"/>
      <c r="C14" s="403"/>
      <c r="D14" s="403"/>
      <c r="E14" s="403"/>
      <c r="F14" s="403"/>
      <c r="G14" s="403"/>
      <c r="H14" s="404"/>
      <c r="I14" s="402"/>
      <c r="J14" s="403"/>
      <c r="K14" s="403"/>
      <c r="L14" s="403"/>
      <c r="M14" s="403"/>
      <c r="N14" s="403"/>
      <c r="O14" s="403"/>
      <c r="P14" s="404"/>
      <c r="T14" s="411"/>
      <c r="U14" s="412"/>
      <c r="V14" s="412"/>
      <c r="W14" s="413"/>
      <c r="X14" s="411"/>
      <c r="Y14" s="412"/>
      <c r="Z14" s="412"/>
      <c r="AA14" s="413"/>
      <c r="AC14" s="96">
        <v>1</v>
      </c>
      <c r="AD14" s="97">
        <v>43137</v>
      </c>
      <c r="AE14" s="98" t="s">
        <v>169</v>
      </c>
      <c r="AF14" s="98" t="s">
        <v>170</v>
      </c>
      <c r="AG14" s="98">
        <v>211</v>
      </c>
      <c r="AH14" s="99">
        <v>0.3</v>
      </c>
      <c r="AI14" s="98">
        <f>34*2</f>
        <v>68</v>
      </c>
      <c r="AJ14" s="98">
        <v>2</v>
      </c>
      <c r="AK14" s="100">
        <f>AH14*AI14*AJ14</f>
        <v>40.799999999999997</v>
      </c>
      <c r="AL14" s="98">
        <f>AH14*AI14</f>
        <v>20.399999999999999</v>
      </c>
      <c r="AM14" s="101">
        <f>AK14-AL14</f>
        <v>20.399999999999999</v>
      </c>
      <c r="AO14" s="411"/>
      <c r="AP14" s="412"/>
      <c r="AQ14" s="412"/>
      <c r="AR14" s="412"/>
      <c r="AS14" s="412"/>
      <c r="AT14" s="412"/>
      <c r="AU14" s="412"/>
      <c r="AV14" s="413"/>
      <c r="AW14" s="411"/>
      <c r="AX14" s="412"/>
      <c r="AY14" s="412"/>
      <c r="AZ14" s="412"/>
      <c r="BA14" s="412"/>
      <c r="BB14" s="412"/>
      <c r="BC14" s="412"/>
      <c r="BD14" s="413"/>
    </row>
    <row r="15" spans="1:57" ht="16.5" hidden="1" thickBot="1" x14ac:dyDescent="0.3">
      <c r="A15" s="405"/>
      <c r="B15" s="406"/>
      <c r="C15" s="406"/>
      <c r="D15" s="406"/>
      <c r="E15" s="406"/>
      <c r="F15" s="406"/>
      <c r="G15" s="406"/>
      <c r="H15" s="407"/>
      <c r="I15" s="405"/>
      <c r="J15" s="406"/>
      <c r="K15" s="406"/>
      <c r="L15" s="406"/>
      <c r="M15" s="406"/>
      <c r="N15" s="406"/>
      <c r="O15" s="406"/>
      <c r="P15" s="407"/>
      <c r="T15" s="411"/>
      <c r="U15" s="412"/>
      <c r="V15" s="412"/>
      <c r="W15" s="413"/>
      <c r="X15" s="411"/>
      <c r="Y15" s="412"/>
      <c r="Z15" s="412"/>
      <c r="AA15" s="413"/>
      <c r="AC15" s="96">
        <v>2</v>
      </c>
      <c r="AD15" s="97">
        <v>43147</v>
      </c>
      <c r="AE15" s="98" t="s">
        <v>169</v>
      </c>
      <c r="AF15" s="98" t="s">
        <v>170</v>
      </c>
      <c r="AG15" s="98">
        <v>171</v>
      </c>
      <c r="AH15" s="105">
        <v>0.4</v>
      </c>
      <c r="AI15" s="98">
        <f>34*2</f>
        <v>68</v>
      </c>
      <c r="AJ15" s="98">
        <v>3</v>
      </c>
      <c r="AK15" s="98">
        <f t="shared" ref="AK15:AK78" si="0">AH15*AI15*AJ15</f>
        <v>81.600000000000009</v>
      </c>
      <c r="AL15" s="98">
        <f t="shared" ref="AL15:AL78" si="1">AH15*AI15</f>
        <v>27.200000000000003</v>
      </c>
      <c r="AM15" s="101">
        <f t="shared" ref="AM15:AM78" si="2">AK15-AL15</f>
        <v>54.400000000000006</v>
      </c>
      <c r="AO15" s="414"/>
      <c r="AP15" s="415"/>
      <c r="AQ15" s="415"/>
      <c r="AR15" s="415"/>
      <c r="AS15" s="415"/>
      <c r="AT15" s="415"/>
      <c r="AU15" s="415"/>
      <c r="AV15" s="416"/>
      <c r="AW15" s="414"/>
      <c r="AX15" s="415"/>
      <c r="AY15" s="415"/>
      <c r="AZ15" s="415"/>
      <c r="BA15" s="415"/>
      <c r="BB15" s="415"/>
      <c r="BC15" s="415"/>
      <c r="BD15" s="416"/>
    </row>
    <row r="16" spans="1:57" ht="16.5" hidden="1" thickBot="1" x14ac:dyDescent="0.3">
      <c r="A16" s="396" t="s">
        <v>171</v>
      </c>
      <c r="B16" s="397"/>
      <c r="C16" s="397"/>
      <c r="D16" s="397"/>
      <c r="E16" s="397"/>
      <c r="F16" s="397"/>
      <c r="G16" s="397"/>
      <c r="H16" s="398"/>
      <c r="I16" s="396" t="s">
        <v>172</v>
      </c>
      <c r="J16" s="397"/>
      <c r="K16" s="397"/>
      <c r="L16" s="397"/>
      <c r="M16" s="397"/>
      <c r="N16" s="397"/>
      <c r="O16" s="397"/>
      <c r="P16" s="398"/>
      <c r="T16" s="411"/>
      <c r="U16" s="412"/>
      <c r="V16" s="412"/>
      <c r="W16" s="413"/>
      <c r="X16" s="411"/>
      <c r="Y16" s="412"/>
      <c r="Z16" s="412"/>
      <c r="AA16" s="413"/>
      <c r="AC16" s="96">
        <v>3</v>
      </c>
      <c r="AD16" s="97">
        <v>43158</v>
      </c>
      <c r="AE16" s="98" t="s">
        <v>169</v>
      </c>
      <c r="AF16" s="98" t="s">
        <v>170</v>
      </c>
      <c r="AG16" s="98">
        <v>212</v>
      </c>
      <c r="AH16" s="105">
        <v>0.33</v>
      </c>
      <c r="AI16" s="98">
        <f>34*2</f>
        <v>68</v>
      </c>
      <c r="AJ16" s="98">
        <v>2</v>
      </c>
      <c r="AK16" s="98">
        <f t="shared" si="0"/>
        <v>44.88</v>
      </c>
      <c r="AL16" s="98">
        <f t="shared" si="1"/>
        <v>22.44</v>
      </c>
      <c r="AM16" s="101">
        <f t="shared" si="2"/>
        <v>22.44</v>
      </c>
      <c r="AO16" s="396" t="s">
        <v>171</v>
      </c>
      <c r="AP16" s="397"/>
      <c r="AQ16" s="397"/>
      <c r="AR16" s="397"/>
      <c r="AS16" s="397"/>
      <c r="AT16" s="397"/>
      <c r="AU16" s="397"/>
      <c r="AV16" s="398"/>
      <c r="AW16" s="396" t="s">
        <v>172</v>
      </c>
      <c r="AX16" s="397"/>
      <c r="AY16" s="397"/>
      <c r="AZ16" s="397"/>
      <c r="BA16" s="397"/>
      <c r="BB16" s="397"/>
      <c r="BC16" s="397"/>
      <c r="BD16" s="398"/>
    </row>
    <row r="17" spans="1:56" ht="179.25" hidden="1" customHeight="1" thickBot="1" x14ac:dyDescent="0.3">
      <c r="A17" s="411" t="s">
        <v>173</v>
      </c>
      <c r="B17" s="412"/>
      <c r="C17" s="412"/>
      <c r="D17" s="412"/>
      <c r="E17" s="412"/>
      <c r="F17" s="412"/>
      <c r="G17" s="412"/>
      <c r="H17" s="412"/>
      <c r="I17" s="396" t="s">
        <v>174</v>
      </c>
      <c r="J17" s="397"/>
      <c r="K17" s="397"/>
      <c r="L17" s="398"/>
      <c r="M17" s="396" t="s">
        <v>175</v>
      </c>
      <c r="N17" s="397"/>
      <c r="O17" s="397"/>
      <c r="P17" s="398"/>
      <c r="T17" s="414"/>
      <c r="U17" s="415"/>
      <c r="V17" s="415"/>
      <c r="W17" s="416"/>
      <c r="X17" s="414"/>
      <c r="Y17" s="415"/>
      <c r="Z17" s="415"/>
      <c r="AA17" s="416"/>
      <c r="AC17" s="96">
        <v>4</v>
      </c>
      <c r="AD17" s="97">
        <v>43158</v>
      </c>
      <c r="AE17" s="98" t="s">
        <v>169</v>
      </c>
      <c r="AF17" s="98" t="s">
        <v>176</v>
      </c>
      <c r="AG17" s="98">
        <v>211</v>
      </c>
      <c r="AH17" s="105">
        <v>0.3</v>
      </c>
      <c r="AI17" s="98">
        <f>148*2</f>
        <v>296</v>
      </c>
      <c r="AJ17" s="98">
        <v>2</v>
      </c>
      <c r="AK17" s="98">
        <f t="shared" si="0"/>
        <v>177.6</v>
      </c>
      <c r="AL17" s="98">
        <f t="shared" si="1"/>
        <v>88.8</v>
      </c>
      <c r="AM17" s="101">
        <f t="shared" si="2"/>
        <v>88.8</v>
      </c>
      <c r="AO17" s="411" t="s">
        <v>177</v>
      </c>
      <c r="AP17" s="412"/>
      <c r="AQ17" s="412"/>
      <c r="AR17" s="412"/>
      <c r="AS17" s="412"/>
      <c r="AT17" s="412"/>
      <c r="AU17" s="412"/>
      <c r="AV17" s="412"/>
      <c r="AW17" s="427" t="s">
        <v>178</v>
      </c>
      <c r="AX17" s="420"/>
      <c r="AY17" s="417" t="s">
        <v>179</v>
      </c>
      <c r="AZ17" s="418"/>
      <c r="BA17" s="417" t="s">
        <v>180</v>
      </c>
      <c r="BB17" s="418"/>
      <c r="BC17" s="419" t="s">
        <v>181</v>
      </c>
      <c r="BD17" s="420"/>
    </row>
    <row r="18" spans="1:56" ht="35.25" hidden="1" thickBot="1" x14ac:dyDescent="0.3">
      <c r="A18" s="396" t="s">
        <v>182</v>
      </c>
      <c r="B18" s="397"/>
      <c r="C18" s="397"/>
      <c r="D18" s="397"/>
      <c r="E18" s="397"/>
      <c r="F18" s="397"/>
      <c r="G18" s="397"/>
      <c r="H18" s="398"/>
      <c r="I18" s="106" t="s">
        <v>162</v>
      </c>
      <c r="J18" s="106" t="s">
        <v>183</v>
      </c>
      <c r="K18" s="106" t="s">
        <v>184</v>
      </c>
      <c r="L18" s="106" t="s">
        <v>185</v>
      </c>
      <c r="M18" s="107" t="s">
        <v>162</v>
      </c>
      <c r="N18" s="106" t="s">
        <v>183</v>
      </c>
      <c r="O18" s="106" t="s">
        <v>184</v>
      </c>
      <c r="P18" s="106" t="s">
        <v>185</v>
      </c>
      <c r="T18" s="423" t="s">
        <v>171</v>
      </c>
      <c r="U18" s="424"/>
      <c r="V18" s="424"/>
      <c r="W18" s="425"/>
      <c r="X18" s="423" t="s">
        <v>172</v>
      </c>
      <c r="Y18" s="424"/>
      <c r="Z18" s="424"/>
      <c r="AA18" s="425"/>
      <c r="AC18" s="96">
        <v>5</v>
      </c>
      <c r="AD18" s="97">
        <v>43160</v>
      </c>
      <c r="AE18" s="98" t="s">
        <v>169</v>
      </c>
      <c r="AF18" s="98" t="s">
        <v>170</v>
      </c>
      <c r="AG18" s="98">
        <v>260</v>
      </c>
      <c r="AH18" s="105">
        <v>0.11</v>
      </c>
      <c r="AI18" s="98">
        <f>34*2</f>
        <v>68</v>
      </c>
      <c r="AJ18" s="98">
        <v>2</v>
      </c>
      <c r="AK18" s="98">
        <f t="shared" si="0"/>
        <v>14.96</v>
      </c>
      <c r="AL18" s="98">
        <f t="shared" si="1"/>
        <v>7.48</v>
      </c>
      <c r="AM18" s="101">
        <f t="shared" si="2"/>
        <v>7.48</v>
      </c>
      <c r="AO18" s="396" t="s">
        <v>182</v>
      </c>
      <c r="AP18" s="397"/>
      <c r="AQ18" s="397"/>
      <c r="AR18" s="397"/>
      <c r="AS18" s="397"/>
      <c r="AT18" s="397"/>
      <c r="AU18" s="397"/>
      <c r="AV18" s="426"/>
      <c r="AW18" s="428"/>
      <c r="AX18" s="422"/>
      <c r="AY18" s="108" t="s">
        <v>186</v>
      </c>
      <c r="AZ18" s="108" t="s">
        <v>187</v>
      </c>
      <c r="BA18" s="108" t="s">
        <v>186</v>
      </c>
      <c r="BB18" s="108" t="s">
        <v>187</v>
      </c>
      <c r="BC18" s="421"/>
      <c r="BD18" s="422"/>
    </row>
    <row r="19" spans="1:56" ht="16.5" hidden="1" thickBot="1" x14ac:dyDescent="0.3">
      <c r="A19" s="408" t="s">
        <v>188</v>
      </c>
      <c r="B19" s="409"/>
      <c r="C19" s="409"/>
      <c r="D19" s="409"/>
      <c r="E19" s="409"/>
      <c r="F19" s="409"/>
      <c r="G19" s="409"/>
      <c r="H19" s="410"/>
      <c r="I19" s="109" t="s">
        <v>189</v>
      </c>
      <c r="J19" s="110">
        <v>76</v>
      </c>
      <c r="K19" s="437">
        <v>101.28</v>
      </c>
      <c r="L19" s="111">
        <f>($K$19/1000)*J19</f>
        <v>7.6972799999999992</v>
      </c>
      <c r="M19" s="112" t="s">
        <v>190</v>
      </c>
      <c r="N19" s="110">
        <v>76</v>
      </c>
      <c r="O19" s="110">
        <v>229.91</v>
      </c>
      <c r="P19" s="111">
        <f>(O19/1000)*N19</f>
        <v>17.47316</v>
      </c>
      <c r="T19" s="408" t="s">
        <v>191</v>
      </c>
      <c r="U19" s="409"/>
      <c r="V19" s="409"/>
      <c r="W19" s="410"/>
      <c r="X19" s="440" t="s">
        <v>192</v>
      </c>
      <c r="Y19" s="441"/>
      <c r="Z19" s="441"/>
      <c r="AA19" s="442"/>
      <c r="AC19" s="96">
        <v>6</v>
      </c>
      <c r="AD19" s="97">
        <v>43172</v>
      </c>
      <c r="AE19" s="98" t="s">
        <v>169</v>
      </c>
      <c r="AF19" s="98" t="s">
        <v>193</v>
      </c>
      <c r="AG19" s="98">
        <v>156</v>
      </c>
      <c r="AH19" s="105">
        <v>0.35</v>
      </c>
      <c r="AI19" s="98">
        <f>34*2</f>
        <v>68</v>
      </c>
      <c r="AJ19" s="98">
        <v>5</v>
      </c>
      <c r="AK19" s="98">
        <f t="shared" si="0"/>
        <v>118.99999999999999</v>
      </c>
      <c r="AL19" s="98">
        <f t="shared" si="1"/>
        <v>23.799999999999997</v>
      </c>
      <c r="AM19" s="101">
        <f t="shared" si="2"/>
        <v>95.199999999999989</v>
      </c>
      <c r="AO19" s="408"/>
      <c r="AP19" s="409"/>
      <c r="AQ19" s="409"/>
      <c r="AR19" s="409"/>
      <c r="AS19" s="409"/>
      <c r="AT19" s="409"/>
      <c r="AU19" s="409"/>
      <c r="AV19" s="409"/>
      <c r="AW19" s="443"/>
      <c r="AX19" s="429"/>
      <c r="AY19" s="429">
        <f>AQ66</f>
        <v>30</v>
      </c>
      <c r="AZ19" s="429">
        <f>SUM(AU37:AU66)</f>
        <v>0</v>
      </c>
      <c r="BA19" s="429">
        <f>AQ66</f>
        <v>30</v>
      </c>
      <c r="BB19" s="429">
        <f>SUM(AY37:AY66)</f>
        <v>0</v>
      </c>
      <c r="BC19" s="431">
        <f>(AZ19-BB19)/1000</f>
        <v>0</v>
      </c>
      <c r="BD19" s="418"/>
    </row>
    <row r="20" spans="1:56" ht="15.75" hidden="1" customHeight="1" thickBot="1" x14ac:dyDescent="0.3">
      <c r="A20" s="411"/>
      <c r="B20" s="412"/>
      <c r="C20" s="412"/>
      <c r="D20" s="412"/>
      <c r="E20" s="412"/>
      <c r="F20" s="412"/>
      <c r="G20" s="412"/>
      <c r="H20" s="413"/>
      <c r="I20" s="96" t="s">
        <v>194</v>
      </c>
      <c r="J20" s="98">
        <v>443</v>
      </c>
      <c r="K20" s="438"/>
      <c r="L20" s="114">
        <f>($K$19/1000)*J20</f>
        <v>44.867039999999996</v>
      </c>
      <c r="M20" s="115" t="s">
        <v>195</v>
      </c>
      <c r="N20" s="116">
        <v>443</v>
      </c>
      <c r="O20" s="116">
        <v>460.44</v>
      </c>
      <c r="P20" s="114">
        <f>(O20/1000)*N20</f>
        <v>203.97492</v>
      </c>
      <c r="T20" s="411"/>
      <c r="U20" s="412"/>
      <c r="V20" s="412"/>
      <c r="W20" s="412"/>
      <c r="X20" s="117" t="s">
        <v>196</v>
      </c>
      <c r="Y20" s="111" t="s">
        <v>197</v>
      </c>
      <c r="Z20" s="117" t="s">
        <v>198</v>
      </c>
      <c r="AA20" s="111" t="s">
        <v>197</v>
      </c>
      <c r="AC20" s="96">
        <v>7</v>
      </c>
      <c r="AD20" s="97">
        <v>43173</v>
      </c>
      <c r="AE20" s="98" t="s">
        <v>169</v>
      </c>
      <c r="AF20" s="98" t="s">
        <v>193</v>
      </c>
      <c r="AG20" s="98">
        <v>171</v>
      </c>
      <c r="AH20" s="105">
        <v>0.4</v>
      </c>
      <c r="AI20" s="98">
        <f>34*2</f>
        <v>68</v>
      </c>
      <c r="AJ20" s="98">
        <v>5</v>
      </c>
      <c r="AK20" s="98">
        <f t="shared" si="0"/>
        <v>136</v>
      </c>
      <c r="AL20" s="98">
        <f t="shared" si="1"/>
        <v>27.200000000000003</v>
      </c>
      <c r="AM20" s="101">
        <f t="shared" si="2"/>
        <v>108.8</v>
      </c>
      <c r="AO20" s="411"/>
      <c r="AP20" s="412"/>
      <c r="AQ20" s="412"/>
      <c r="AR20" s="412"/>
      <c r="AS20" s="412"/>
      <c r="AT20" s="412"/>
      <c r="AU20" s="412"/>
      <c r="AV20" s="412"/>
      <c r="AW20" s="444"/>
      <c r="AX20" s="430"/>
      <c r="AY20" s="430"/>
      <c r="AZ20" s="430"/>
      <c r="BA20" s="430"/>
      <c r="BB20" s="430"/>
      <c r="BC20" s="432"/>
      <c r="BD20" s="433"/>
    </row>
    <row r="21" spans="1:56" ht="15" hidden="1" customHeight="1" thickBot="1" x14ac:dyDescent="0.3">
      <c r="A21" s="411"/>
      <c r="B21" s="412"/>
      <c r="C21" s="412"/>
      <c r="D21" s="412"/>
      <c r="E21" s="412"/>
      <c r="F21" s="412"/>
      <c r="G21" s="412"/>
      <c r="H21" s="413"/>
      <c r="I21" s="118" t="s">
        <v>199</v>
      </c>
      <c r="J21" s="105">
        <v>0</v>
      </c>
      <c r="K21" s="438"/>
      <c r="L21" s="101">
        <f t="shared" ref="L21:L22" si="3">($K$19/1000)*J21</f>
        <v>0</v>
      </c>
      <c r="M21" s="119" t="s">
        <v>200</v>
      </c>
      <c r="N21" s="98">
        <v>0</v>
      </c>
      <c r="O21" s="98">
        <v>460.44</v>
      </c>
      <c r="P21" s="101">
        <f t="shared" ref="P21:P22" si="4">(O21/1000)*N21</f>
        <v>0</v>
      </c>
      <c r="T21" s="411"/>
      <c r="U21" s="412"/>
      <c r="V21" s="412"/>
      <c r="W21" s="412"/>
      <c r="X21" s="120">
        <f>AC80</f>
        <v>67</v>
      </c>
      <c r="Y21" s="104" t="s">
        <v>201</v>
      </c>
      <c r="Z21" s="120">
        <f>SUM(AM14:AM80)</f>
        <v>3652.1200000000003</v>
      </c>
      <c r="AA21" s="121" t="s">
        <v>202</v>
      </c>
      <c r="AC21" s="96">
        <v>8</v>
      </c>
      <c r="AD21" s="122">
        <v>43540</v>
      </c>
      <c r="AE21" s="98" t="s">
        <v>169</v>
      </c>
      <c r="AF21" s="98" t="s">
        <v>203</v>
      </c>
      <c r="AG21" s="116">
        <v>216</v>
      </c>
      <c r="AH21" s="105">
        <v>0.19</v>
      </c>
      <c r="AI21" s="98">
        <f>26*2</f>
        <v>52</v>
      </c>
      <c r="AJ21" s="98">
        <v>2</v>
      </c>
      <c r="AK21" s="98">
        <f t="shared" si="0"/>
        <v>19.760000000000002</v>
      </c>
      <c r="AL21" s="98">
        <f t="shared" si="1"/>
        <v>9.8800000000000008</v>
      </c>
      <c r="AM21" s="101">
        <f t="shared" si="2"/>
        <v>9.8800000000000008</v>
      </c>
      <c r="AO21" s="411"/>
      <c r="AP21" s="412"/>
      <c r="AQ21" s="412"/>
      <c r="AR21" s="412"/>
      <c r="AS21" s="412"/>
      <c r="AT21" s="412"/>
      <c r="AU21" s="412"/>
      <c r="AV21" s="413"/>
      <c r="AW21" s="434" t="s">
        <v>204</v>
      </c>
      <c r="AX21" s="435"/>
      <c r="AY21" s="435"/>
      <c r="AZ21" s="435"/>
      <c r="BA21" s="435"/>
      <c r="BB21" s="435"/>
      <c r="BC21" s="435"/>
      <c r="BD21" s="436"/>
    </row>
    <row r="22" spans="1:56" ht="19.5" hidden="1" thickBot="1" x14ac:dyDescent="0.3">
      <c r="A22" s="411"/>
      <c r="B22" s="412"/>
      <c r="C22" s="412"/>
      <c r="D22" s="412"/>
      <c r="E22" s="412"/>
      <c r="F22" s="412"/>
      <c r="G22" s="412"/>
      <c r="H22" s="413"/>
      <c r="I22" s="123" t="s">
        <v>205</v>
      </c>
      <c r="J22" s="124">
        <v>418</v>
      </c>
      <c r="K22" s="439"/>
      <c r="L22" s="114">
        <f t="shared" si="3"/>
        <v>42.335039999999999</v>
      </c>
      <c r="M22" s="125" t="s">
        <v>206</v>
      </c>
      <c r="N22" s="126">
        <v>418</v>
      </c>
      <c r="O22" s="126">
        <v>178.33</v>
      </c>
      <c r="P22" s="114">
        <f t="shared" si="4"/>
        <v>74.541940000000011</v>
      </c>
      <c r="T22" s="411"/>
      <c r="U22" s="412"/>
      <c r="V22" s="412"/>
      <c r="W22" s="413"/>
      <c r="X22" s="440" t="s">
        <v>207</v>
      </c>
      <c r="Y22" s="441"/>
      <c r="Z22" s="441"/>
      <c r="AA22" s="442"/>
      <c r="AC22" s="96">
        <v>9</v>
      </c>
      <c r="AD22" s="97">
        <v>43179</v>
      </c>
      <c r="AE22" s="98" t="s">
        <v>169</v>
      </c>
      <c r="AF22" s="98" t="s">
        <v>170</v>
      </c>
      <c r="AG22" s="98">
        <v>245</v>
      </c>
      <c r="AH22" s="105">
        <v>0.28000000000000003</v>
      </c>
      <c r="AI22" s="98">
        <f>34*2</f>
        <v>68</v>
      </c>
      <c r="AJ22" s="98">
        <v>3</v>
      </c>
      <c r="AK22" s="98">
        <f t="shared" si="0"/>
        <v>57.120000000000005</v>
      </c>
      <c r="AL22" s="98">
        <f t="shared" si="1"/>
        <v>19.040000000000003</v>
      </c>
      <c r="AM22" s="101">
        <f t="shared" si="2"/>
        <v>38.08</v>
      </c>
      <c r="AO22" s="411"/>
      <c r="AP22" s="412"/>
      <c r="AQ22" s="412"/>
      <c r="AR22" s="412"/>
      <c r="AS22" s="412"/>
      <c r="AT22" s="412"/>
      <c r="AU22" s="412"/>
      <c r="AV22" s="413"/>
      <c r="AW22" s="445" t="s">
        <v>179</v>
      </c>
      <c r="AX22" s="446"/>
      <c r="AY22" s="446"/>
      <c r="AZ22" s="447"/>
      <c r="BA22" s="450" t="s">
        <v>208</v>
      </c>
      <c r="BB22" s="451"/>
      <c r="BC22" s="451"/>
      <c r="BD22" s="452"/>
    </row>
    <row r="23" spans="1:56" hidden="1" x14ac:dyDescent="0.25">
      <c r="A23" s="411"/>
      <c r="B23" s="412"/>
      <c r="C23" s="412"/>
      <c r="D23" s="412"/>
      <c r="E23" s="412"/>
      <c r="F23" s="412"/>
      <c r="G23" s="412"/>
      <c r="H23" s="413"/>
      <c r="I23" s="453" t="s">
        <v>0</v>
      </c>
      <c r="J23" s="456">
        <f>SUM(J19:J22)</f>
        <v>937</v>
      </c>
      <c r="K23" s="437" t="s">
        <v>209</v>
      </c>
      <c r="L23" s="459">
        <f>SUM(L19:L22)</f>
        <v>94.899360000000001</v>
      </c>
      <c r="M23" s="453" t="s">
        <v>0</v>
      </c>
      <c r="N23" s="456">
        <f>SUM(N19:N22)</f>
        <v>937</v>
      </c>
      <c r="O23" s="437" t="s">
        <v>209</v>
      </c>
      <c r="P23" s="462">
        <f>SUM(P19:P22)</f>
        <v>295.99002000000002</v>
      </c>
      <c r="T23" s="411"/>
      <c r="U23" s="412"/>
      <c r="V23" s="412"/>
      <c r="W23" s="413"/>
      <c r="X23" s="465">
        <f>Z21/1000</f>
        <v>3.6521200000000005</v>
      </c>
      <c r="Y23" s="466"/>
      <c r="Z23" s="466"/>
      <c r="AA23" s="467"/>
      <c r="AC23" s="96">
        <v>10</v>
      </c>
      <c r="AD23" s="97">
        <v>43193</v>
      </c>
      <c r="AE23" s="98" t="s">
        <v>169</v>
      </c>
      <c r="AF23" s="98" t="s">
        <v>170</v>
      </c>
      <c r="AG23" s="98">
        <v>245</v>
      </c>
      <c r="AH23" s="105">
        <v>0.28000000000000003</v>
      </c>
      <c r="AI23" s="98">
        <f>34*2</f>
        <v>68</v>
      </c>
      <c r="AJ23" s="98">
        <v>2</v>
      </c>
      <c r="AK23" s="98">
        <f t="shared" si="0"/>
        <v>38.080000000000005</v>
      </c>
      <c r="AL23" s="98">
        <f t="shared" si="1"/>
        <v>19.040000000000003</v>
      </c>
      <c r="AM23" s="101">
        <f t="shared" si="2"/>
        <v>19.040000000000003</v>
      </c>
      <c r="AO23" s="411"/>
      <c r="AP23" s="412"/>
      <c r="AQ23" s="412"/>
      <c r="AR23" s="412"/>
      <c r="AS23" s="412"/>
      <c r="AT23" s="412"/>
      <c r="AU23" s="412"/>
      <c r="AV23" s="412"/>
      <c r="AW23" s="448" t="s">
        <v>210</v>
      </c>
      <c r="AX23" s="449"/>
      <c r="AY23" s="449" t="s">
        <v>197</v>
      </c>
      <c r="AZ23" s="449"/>
      <c r="BA23" s="449" t="e">
        <f>(BC19/AW24)*100</f>
        <v>#DIV/0!</v>
      </c>
      <c r="BB23" s="449"/>
      <c r="BC23" s="449"/>
      <c r="BD23" s="471"/>
    </row>
    <row r="24" spans="1:56" ht="19.5" hidden="1" customHeight="1" thickBot="1" x14ac:dyDescent="0.3">
      <c r="A24" s="411"/>
      <c r="B24" s="412"/>
      <c r="C24" s="412"/>
      <c r="D24" s="412"/>
      <c r="E24" s="412"/>
      <c r="F24" s="412"/>
      <c r="G24" s="412"/>
      <c r="H24" s="413"/>
      <c r="I24" s="454"/>
      <c r="J24" s="457"/>
      <c r="K24" s="438"/>
      <c r="L24" s="460"/>
      <c r="M24" s="454"/>
      <c r="N24" s="457"/>
      <c r="O24" s="438"/>
      <c r="P24" s="463"/>
      <c r="T24" s="411"/>
      <c r="U24" s="412"/>
      <c r="V24" s="412"/>
      <c r="W24" s="413"/>
      <c r="X24" s="468"/>
      <c r="Y24" s="469"/>
      <c r="Z24" s="469"/>
      <c r="AA24" s="470"/>
      <c r="AC24" s="96">
        <v>11</v>
      </c>
      <c r="AD24" s="97">
        <v>43200</v>
      </c>
      <c r="AE24" s="98" t="s">
        <v>169</v>
      </c>
      <c r="AF24" s="98" t="s">
        <v>170</v>
      </c>
      <c r="AG24" s="98">
        <v>245</v>
      </c>
      <c r="AH24" s="105">
        <v>0.28000000000000003</v>
      </c>
      <c r="AI24" s="98">
        <f>34*2</f>
        <v>68</v>
      </c>
      <c r="AJ24" s="98">
        <v>3</v>
      </c>
      <c r="AK24" s="98">
        <f t="shared" si="0"/>
        <v>57.120000000000005</v>
      </c>
      <c r="AL24" s="98">
        <f t="shared" si="1"/>
        <v>19.040000000000003</v>
      </c>
      <c r="AM24" s="101">
        <f t="shared" si="2"/>
        <v>38.08</v>
      </c>
      <c r="AO24" s="411"/>
      <c r="AP24" s="412"/>
      <c r="AQ24" s="412"/>
      <c r="AR24" s="412"/>
      <c r="AS24" s="412"/>
      <c r="AT24" s="412"/>
      <c r="AU24" s="412"/>
      <c r="AV24" s="412"/>
      <c r="AW24" s="476"/>
      <c r="AX24" s="472"/>
      <c r="AY24" s="472" t="s">
        <v>211</v>
      </c>
      <c r="AZ24" s="472"/>
      <c r="BA24" s="472"/>
      <c r="BB24" s="472"/>
      <c r="BC24" s="472"/>
      <c r="BD24" s="473"/>
    </row>
    <row r="25" spans="1:56" ht="16.5" hidden="1" thickBot="1" x14ac:dyDescent="0.3">
      <c r="A25" s="414"/>
      <c r="B25" s="415"/>
      <c r="C25" s="415"/>
      <c r="D25" s="415"/>
      <c r="E25" s="415"/>
      <c r="F25" s="415"/>
      <c r="G25" s="415"/>
      <c r="H25" s="416"/>
      <c r="I25" s="455"/>
      <c r="J25" s="458"/>
      <c r="K25" s="439"/>
      <c r="L25" s="461"/>
      <c r="M25" s="455"/>
      <c r="N25" s="458"/>
      <c r="O25" s="439"/>
      <c r="P25" s="464"/>
      <c r="T25" s="411"/>
      <c r="U25" s="412"/>
      <c r="V25" s="412"/>
      <c r="W25" s="413"/>
      <c r="X25" s="478" t="s">
        <v>204</v>
      </c>
      <c r="Y25" s="479"/>
      <c r="Z25" s="479"/>
      <c r="AA25" s="480"/>
      <c r="AC25" s="96">
        <v>12</v>
      </c>
      <c r="AD25" s="97">
        <v>43207</v>
      </c>
      <c r="AE25" s="98" t="s">
        <v>169</v>
      </c>
      <c r="AF25" s="98" t="s">
        <v>176</v>
      </c>
      <c r="AG25" s="98">
        <v>252</v>
      </c>
      <c r="AH25" s="105">
        <v>0.36</v>
      </c>
      <c r="AI25" s="98">
        <f>148*2</f>
        <v>296</v>
      </c>
      <c r="AJ25" s="98">
        <v>2</v>
      </c>
      <c r="AK25" s="98">
        <f t="shared" si="0"/>
        <v>213.12</v>
      </c>
      <c r="AL25" s="98">
        <f t="shared" si="1"/>
        <v>106.56</v>
      </c>
      <c r="AM25" s="101">
        <f t="shared" si="2"/>
        <v>106.56</v>
      </c>
      <c r="AO25" s="414"/>
      <c r="AP25" s="415"/>
      <c r="AQ25" s="415"/>
      <c r="AR25" s="415"/>
      <c r="AS25" s="415"/>
      <c r="AT25" s="415"/>
      <c r="AU25" s="415"/>
      <c r="AV25" s="415"/>
      <c r="AW25" s="477"/>
      <c r="AX25" s="474"/>
      <c r="AY25" s="474"/>
      <c r="AZ25" s="474"/>
      <c r="BA25" s="474"/>
      <c r="BB25" s="474"/>
      <c r="BC25" s="474"/>
      <c r="BD25" s="475"/>
    </row>
    <row r="26" spans="1:56" ht="16.5" hidden="1" thickBot="1" x14ac:dyDescent="0.3">
      <c r="A26" s="396" t="s">
        <v>212</v>
      </c>
      <c r="B26" s="397"/>
      <c r="C26" s="397"/>
      <c r="D26" s="397"/>
      <c r="E26" s="397"/>
      <c r="F26" s="397"/>
      <c r="G26" s="397"/>
      <c r="H26" s="398"/>
      <c r="I26" s="481" t="s">
        <v>213</v>
      </c>
      <c r="J26" s="482"/>
      <c r="K26" s="482"/>
      <c r="L26" s="482"/>
      <c r="M26" s="482"/>
      <c r="N26" s="482"/>
      <c r="O26" s="482"/>
      <c r="P26" s="483"/>
      <c r="T26" s="411"/>
      <c r="U26" s="412"/>
      <c r="V26" s="412"/>
      <c r="W26" s="412"/>
      <c r="X26" s="484" t="s">
        <v>179</v>
      </c>
      <c r="Y26" s="485"/>
      <c r="Z26" s="486" t="s">
        <v>208</v>
      </c>
      <c r="AA26" s="471"/>
      <c r="AC26" s="96">
        <v>13</v>
      </c>
      <c r="AD26" s="97">
        <v>43207</v>
      </c>
      <c r="AE26" s="98" t="s">
        <v>169</v>
      </c>
      <c r="AF26" s="98" t="s">
        <v>214</v>
      </c>
      <c r="AG26" s="98">
        <v>155</v>
      </c>
      <c r="AH26" s="105">
        <v>0.34</v>
      </c>
      <c r="AI26" s="98">
        <f>147*2</f>
        <v>294</v>
      </c>
      <c r="AJ26" s="98">
        <v>2</v>
      </c>
      <c r="AK26" s="98">
        <f t="shared" si="0"/>
        <v>199.92000000000002</v>
      </c>
      <c r="AL26" s="98">
        <f t="shared" si="1"/>
        <v>99.960000000000008</v>
      </c>
      <c r="AM26" s="101">
        <f t="shared" si="2"/>
        <v>99.960000000000008</v>
      </c>
      <c r="AO26" s="396" t="s">
        <v>212</v>
      </c>
      <c r="AP26" s="397"/>
      <c r="AQ26" s="397"/>
      <c r="AR26" s="397"/>
      <c r="AS26" s="397"/>
      <c r="AT26" s="397"/>
      <c r="AU26" s="397"/>
      <c r="AV26" s="398"/>
      <c r="AW26" s="396" t="s">
        <v>215</v>
      </c>
      <c r="AX26" s="397"/>
      <c r="AY26" s="397"/>
      <c r="AZ26" s="397"/>
      <c r="BA26" s="397"/>
      <c r="BB26" s="397"/>
      <c r="BC26" s="397"/>
      <c r="BD26" s="398"/>
    </row>
    <row r="27" spans="1:56" ht="16.5" hidden="1" thickBot="1" x14ac:dyDescent="0.3">
      <c r="A27" s="505"/>
      <c r="B27" s="506"/>
      <c r="C27" s="506"/>
      <c r="D27" s="506"/>
      <c r="E27" s="506"/>
      <c r="F27" s="506"/>
      <c r="G27" s="506"/>
      <c r="H27" s="507"/>
      <c r="I27" s="448">
        <f>(P23-L23)/1000</f>
        <v>0.20109066</v>
      </c>
      <c r="J27" s="449"/>
      <c r="K27" s="449"/>
      <c r="L27" s="449"/>
      <c r="M27" s="449"/>
      <c r="N27" s="449"/>
      <c r="O27" s="449"/>
      <c r="P27" s="471"/>
      <c r="T27" s="411"/>
      <c r="U27" s="412"/>
      <c r="V27" s="412"/>
      <c r="W27" s="412"/>
      <c r="X27" s="118" t="s">
        <v>210</v>
      </c>
      <c r="Y27" s="127" t="s">
        <v>197</v>
      </c>
      <c r="Z27" s="511">
        <f>(X23/X28)*100</f>
        <v>0.96318801592953029</v>
      </c>
      <c r="AA27" s="473"/>
      <c r="AC27" s="96">
        <v>14</v>
      </c>
      <c r="AD27" s="97">
        <v>43207</v>
      </c>
      <c r="AE27" s="98" t="s">
        <v>169</v>
      </c>
      <c r="AF27" s="98" t="s">
        <v>170</v>
      </c>
      <c r="AG27" s="98">
        <v>260</v>
      </c>
      <c r="AH27" s="131">
        <v>0.11</v>
      </c>
      <c r="AI27" s="98">
        <f>34*2</f>
        <v>68</v>
      </c>
      <c r="AJ27" s="98">
        <v>2</v>
      </c>
      <c r="AK27" s="98">
        <f t="shared" si="0"/>
        <v>14.96</v>
      </c>
      <c r="AL27" s="98">
        <f t="shared" si="1"/>
        <v>7.48</v>
      </c>
      <c r="AM27" s="101">
        <f t="shared" si="2"/>
        <v>7.48</v>
      </c>
      <c r="AO27" s="513"/>
      <c r="AP27" s="514"/>
      <c r="AQ27" s="514"/>
      <c r="AR27" s="514"/>
      <c r="AS27" s="514"/>
      <c r="AT27" s="514"/>
      <c r="AU27" s="514"/>
      <c r="AV27" s="515"/>
      <c r="AW27" s="492" t="s">
        <v>216</v>
      </c>
      <c r="AX27" s="493"/>
      <c r="AY27" s="494"/>
      <c r="AZ27" s="492" t="s">
        <v>217</v>
      </c>
      <c r="BA27" s="495"/>
      <c r="BB27" s="487" t="s">
        <v>218</v>
      </c>
      <c r="BC27" s="488"/>
      <c r="BD27" s="489"/>
    </row>
    <row r="28" spans="1:56" ht="19.5" hidden="1" thickBot="1" x14ac:dyDescent="0.3">
      <c r="A28" s="508"/>
      <c r="B28" s="509"/>
      <c r="C28" s="509"/>
      <c r="D28" s="509"/>
      <c r="E28" s="509"/>
      <c r="F28" s="509"/>
      <c r="G28" s="509"/>
      <c r="H28" s="510"/>
      <c r="I28" s="477"/>
      <c r="J28" s="474"/>
      <c r="K28" s="474"/>
      <c r="L28" s="474"/>
      <c r="M28" s="474"/>
      <c r="N28" s="474"/>
      <c r="O28" s="474"/>
      <c r="P28" s="475"/>
      <c r="T28" s="414"/>
      <c r="U28" s="415"/>
      <c r="V28" s="415"/>
      <c r="W28" s="415"/>
      <c r="X28" s="123">
        <f>I57</f>
        <v>379.17</v>
      </c>
      <c r="Y28" s="129" t="s">
        <v>211</v>
      </c>
      <c r="Z28" s="512"/>
      <c r="AA28" s="475"/>
      <c r="AC28" s="96">
        <v>15</v>
      </c>
      <c r="AD28" s="97">
        <v>43215</v>
      </c>
      <c r="AE28" s="98" t="s">
        <v>169</v>
      </c>
      <c r="AF28" s="98" t="s">
        <v>219</v>
      </c>
      <c r="AG28" s="98">
        <v>171</v>
      </c>
      <c r="AH28" s="105">
        <v>0.4</v>
      </c>
      <c r="AI28" s="98">
        <f>26*2</f>
        <v>52</v>
      </c>
      <c r="AJ28" s="98">
        <v>2</v>
      </c>
      <c r="AK28" s="98">
        <f t="shared" si="0"/>
        <v>41.6</v>
      </c>
      <c r="AL28" s="98">
        <f t="shared" si="1"/>
        <v>20.8</v>
      </c>
      <c r="AM28" s="101">
        <f t="shared" si="2"/>
        <v>20.8</v>
      </c>
      <c r="AO28" s="516"/>
      <c r="AP28" s="517"/>
      <c r="AQ28" s="517"/>
      <c r="AR28" s="517"/>
      <c r="AS28" s="517"/>
      <c r="AT28" s="517"/>
      <c r="AU28" s="517"/>
      <c r="AV28" s="518"/>
      <c r="AW28" s="88" t="s">
        <v>220</v>
      </c>
      <c r="AX28" s="89" t="s">
        <v>221</v>
      </c>
      <c r="AY28" s="90" t="s">
        <v>0</v>
      </c>
      <c r="AZ28" s="134"/>
      <c r="BA28" s="135"/>
      <c r="BB28" s="136" t="s">
        <v>220</v>
      </c>
      <c r="BC28" s="137" t="s">
        <v>221</v>
      </c>
      <c r="BD28" s="138" t="s">
        <v>0</v>
      </c>
    </row>
    <row r="29" spans="1:56" ht="16.5" hidden="1" thickBot="1" x14ac:dyDescent="0.3">
      <c r="A29" s="396" t="s">
        <v>215</v>
      </c>
      <c r="B29" s="397"/>
      <c r="C29" s="397"/>
      <c r="D29" s="397"/>
      <c r="E29" s="397"/>
      <c r="F29" s="397"/>
      <c r="G29" s="397"/>
      <c r="H29" s="398"/>
      <c r="I29" s="396" t="s">
        <v>204</v>
      </c>
      <c r="J29" s="397"/>
      <c r="K29" s="397"/>
      <c r="L29" s="397"/>
      <c r="M29" s="397"/>
      <c r="N29" s="397"/>
      <c r="O29" s="397"/>
      <c r="P29" s="398"/>
      <c r="T29" s="423" t="s">
        <v>215</v>
      </c>
      <c r="U29" s="424"/>
      <c r="V29" s="424"/>
      <c r="W29" s="424"/>
      <c r="X29" s="490"/>
      <c r="Y29" s="490"/>
      <c r="Z29" s="490"/>
      <c r="AA29" s="491"/>
      <c r="AC29" s="96">
        <v>16</v>
      </c>
      <c r="AD29" s="97">
        <v>43235</v>
      </c>
      <c r="AE29" s="98" t="s">
        <v>169</v>
      </c>
      <c r="AF29" s="98" t="s">
        <v>170</v>
      </c>
      <c r="AG29" s="98">
        <v>155</v>
      </c>
      <c r="AH29" s="105">
        <v>0.34</v>
      </c>
      <c r="AI29" s="98">
        <f>34*2</f>
        <v>68</v>
      </c>
      <c r="AJ29" s="98">
        <v>4</v>
      </c>
      <c r="AK29" s="98">
        <f t="shared" si="0"/>
        <v>92.48</v>
      </c>
      <c r="AL29" s="98">
        <f t="shared" si="1"/>
        <v>23.12</v>
      </c>
      <c r="AM29" s="101">
        <f t="shared" si="2"/>
        <v>69.36</v>
      </c>
      <c r="AO29" s="519"/>
      <c r="AP29" s="520"/>
      <c r="AQ29" s="520"/>
      <c r="AR29" s="520"/>
      <c r="AS29" s="520"/>
      <c r="AT29" s="520"/>
      <c r="AU29" s="520"/>
      <c r="AV29" s="521"/>
      <c r="AW29" s="102"/>
      <c r="AX29" s="103"/>
      <c r="AY29" s="104">
        <f>AW29+AX29</f>
        <v>0</v>
      </c>
      <c r="AZ29" s="139"/>
      <c r="BA29" s="140"/>
      <c r="BB29" s="123" t="e">
        <f>$D$31/AW29</f>
        <v>#DIV/0!</v>
      </c>
      <c r="BC29" s="124" t="e">
        <f>$D$31/AX29</f>
        <v>#DIV/0!</v>
      </c>
      <c r="BD29" s="129" t="e">
        <f>$D$31/AY29</f>
        <v>#DIV/0!</v>
      </c>
    </row>
    <row r="30" spans="1:56" ht="16.5" hidden="1" thickBot="1" x14ac:dyDescent="0.3">
      <c r="A30" s="492" t="s">
        <v>216</v>
      </c>
      <c r="B30" s="493"/>
      <c r="C30" s="494"/>
      <c r="D30" s="492" t="s">
        <v>217</v>
      </c>
      <c r="E30" s="495"/>
      <c r="F30" s="487" t="s">
        <v>218</v>
      </c>
      <c r="G30" s="488"/>
      <c r="H30" s="489"/>
      <c r="I30" s="496" t="s">
        <v>179</v>
      </c>
      <c r="J30" s="497"/>
      <c r="K30" s="497"/>
      <c r="L30" s="498"/>
      <c r="M30" s="499" t="s">
        <v>208</v>
      </c>
      <c r="N30" s="500"/>
      <c r="O30" s="500"/>
      <c r="P30" s="501"/>
      <c r="T30" s="502" t="s">
        <v>216</v>
      </c>
      <c r="U30" s="503"/>
      <c r="V30" s="504"/>
      <c r="W30" s="522" t="s">
        <v>217</v>
      </c>
      <c r="X30" s="522"/>
      <c r="Y30" s="523" t="s">
        <v>218</v>
      </c>
      <c r="Z30" s="524"/>
      <c r="AA30" s="525"/>
      <c r="AC30" s="96">
        <v>17</v>
      </c>
      <c r="AD30" s="97">
        <v>43236</v>
      </c>
      <c r="AE30" s="98" t="s">
        <v>169</v>
      </c>
      <c r="AF30" s="98" t="s">
        <v>176</v>
      </c>
      <c r="AG30" s="98">
        <v>252</v>
      </c>
      <c r="AH30" s="105">
        <v>0.36</v>
      </c>
      <c r="AI30" s="98">
        <f>148*2</f>
        <v>296</v>
      </c>
      <c r="AJ30" s="98">
        <v>3</v>
      </c>
      <c r="AK30" s="98">
        <f t="shared" si="0"/>
        <v>319.68</v>
      </c>
      <c r="AL30" s="98">
        <f t="shared" si="1"/>
        <v>106.56</v>
      </c>
      <c r="AM30" s="101">
        <f t="shared" si="2"/>
        <v>213.12</v>
      </c>
    </row>
    <row r="31" spans="1:56" ht="16.5" hidden="1" thickBot="1" x14ac:dyDescent="0.3">
      <c r="A31" s="88" t="s">
        <v>220</v>
      </c>
      <c r="B31" s="89" t="s">
        <v>221</v>
      </c>
      <c r="C31" s="90" t="s">
        <v>0</v>
      </c>
      <c r="D31" s="408">
        <v>330.99</v>
      </c>
      <c r="E31" s="410"/>
      <c r="F31" s="136" t="s">
        <v>220</v>
      </c>
      <c r="G31" s="137" t="s">
        <v>221</v>
      </c>
      <c r="H31" s="138" t="s">
        <v>0</v>
      </c>
      <c r="I31" s="448" t="s">
        <v>210</v>
      </c>
      <c r="J31" s="449"/>
      <c r="K31" s="449" t="s">
        <v>197</v>
      </c>
      <c r="L31" s="471"/>
      <c r="M31" s="448">
        <f>(I27/I32)*1000</f>
        <v>0.53034433103884804</v>
      </c>
      <c r="N31" s="449"/>
      <c r="O31" s="449"/>
      <c r="P31" s="471"/>
      <c r="T31" s="88" t="s">
        <v>220</v>
      </c>
      <c r="U31" s="89" t="s">
        <v>221</v>
      </c>
      <c r="V31" s="141" t="s">
        <v>0</v>
      </c>
      <c r="W31" s="399">
        <v>330.99</v>
      </c>
      <c r="X31" s="401"/>
      <c r="Y31" s="142" t="s">
        <v>220</v>
      </c>
      <c r="Z31" s="89" t="s">
        <v>221</v>
      </c>
      <c r="AA31" s="90" t="s">
        <v>0</v>
      </c>
      <c r="AC31" s="96">
        <v>18</v>
      </c>
      <c r="AD31" s="97">
        <v>43242</v>
      </c>
      <c r="AE31" s="98" t="s">
        <v>169</v>
      </c>
      <c r="AF31" s="98" t="s">
        <v>170</v>
      </c>
      <c r="AG31" s="98">
        <v>252</v>
      </c>
      <c r="AH31" s="105">
        <v>0.36</v>
      </c>
      <c r="AI31" s="98">
        <f>34*2</f>
        <v>68</v>
      </c>
      <c r="AJ31" s="98">
        <v>3</v>
      </c>
      <c r="AK31" s="98">
        <f t="shared" si="0"/>
        <v>73.44</v>
      </c>
      <c r="AL31" s="98">
        <f t="shared" si="1"/>
        <v>24.48</v>
      </c>
      <c r="AM31" s="101">
        <f t="shared" si="2"/>
        <v>48.959999999999994</v>
      </c>
    </row>
    <row r="32" spans="1:56" ht="19.5" hidden="1" customHeight="1" thickBot="1" x14ac:dyDescent="0.3">
      <c r="A32" s="102">
        <v>7646</v>
      </c>
      <c r="B32" s="103">
        <v>1483</v>
      </c>
      <c r="C32" s="104">
        <f>A32+B32</f>
        <v>9129</v>
      </c>
      <c r="D32" s="414"/>
      <c r="E32" s="416"/>
      <c r="F32" s="123">
        <f>$D$31/A32</f>
        <v>4.3289301595605546E-2</v>
      </c>
      <c r="G32" s="124">
        <f>$D$31/B32</f>
        <v>0.22318948078219825</v>
      </c>
      <c r="H32" s="129">
        <f>$D$31/C32</f>
        <v>3.6256983240223466E-2</v>
      </c>
      <c r="I32" s="477">
        <v>379.17</v>
      </c>
      <c r="J32" s="474"/>
      <c r="K32" s="474" t="s">
        <v>211</v>
      </c>
      <c r="L32" s="475"/>
      <c r="M32" s="477"/>
      <c r="N32" s="474"/>
      <c r="O32" s="474"/>
      <c r="P32" s="475"/>
      <c r="T32" s="102">
        <v>8061</v>
      </c>
      <c r="U32" s="103">
        <v>1776</v>
      </c>
      <c r="V32" s="140">
        <f>T32+U32</f>
        <v>9837</v>
      </c>
      <c r="W32" s="405"/>
      <c r="X32" s="407"/>
      <c r="Y32" s="133">
        <f>$D$31/T32</f>
        <v>4.1060662448827688E-2</v>
      </c>
      <c r="Z32" s="133">
        <f t="shared" ref="Z32:AA32" si="5">$D$31/U32</f>
        <v>0.18636824324324325</v>
      </c>
      <c r="AA32" s="133">
        <f t="shared" si="5"/>
        <v>3.3647453491918271E-2</v>
      </c>
      <c r="AC32" s="96">
        <v>19</v>
      </c>
      <c r="AD32" s="97">
        <v>43242</v>
      </c>
      <c r="AE32" s="98" t="s">
        <v>169</v>
      </c>
      <c r="AF32" s="98" t="s">
        <v>222</v>
      </c>
      <c r="AG32" s="98">
        <v>199</v>
      </c>
      <c r="AH32" s="105">
        <v>0.19</v>
      </c>
      <c r="AI32" s="98">
        <f>21*2</f>
        <v>42</v>
      </c>
      <c r="AJ32" s="98">
        <v>2</v>
      </c>
      <c r="AK32" s="98">
        <f t="shared" si="0"/>
        <v>15.96</v>
      </c>
      <c r="AL32" s="98">
        <f t="shared" si="1"/>
        <v>7.98</v>
      </c>
      <c r="AM32" s="101">
        <f t="shared" si="2"/>
        <v>7.98</v>
      </c>
      <c r="AQ32" s="381" t="s">
        <v>223</v>
      </c>
      <c r="AR32" s="382"/>
      <c r="AS32" s="382"/>
      <c r="AT32" s="382"/>
      <c r="AU32" s="382"/>
      <c r="AV32" s="382"/>
      <c r="AW32" s="382"/>
      <c r="AX32" s="382"/>
      <c r="AY32" s="387"/>
      <c r="AZ32" s="143"/>
      <c r="BA32" s="144"/>
    </row>
    <row r="33" spans="1:53" ht="16.5" hidden="1" customHeight="1" thickBot="1" x14ac:dyDescent="0.3">
      <c r="T33" s="423" t="s">
        <v>182</v>
      </c>
      <c r="U33" s="424"/>
      <c r="V33" s="424"/>
      <c r="W33" s="424"/>
      <c r="X33" s="490"/>
      <c r="Y33" s="490"/>
      <c r="Z33" s="490"/>
      <c r="AA33" s="491"/>
      <c r="AC33" s="96">
        <v>20</v>
      </c>
      <c r="AD33" s="97">
        <v>43236</v>
      </c>
      <c r="AE33" s="98" t="s">
        <v>169</v>
      </c>
      <c r="AF33" s="98" t="s">
        <v>203</v>
      </c>
      <c r="AG33" s="98">
        <v>156</v>
      </c>
      <c r="AH33" s="105">
        <v>0.35</v>
      </c>
      <c r="AI33" s="98">
        <f>26*2</f>
        <v>52</v>
      </c>
      <c r="AJ33" s="98">
        <v>3</v>
      </c>
      <c r="AK33" s="98">
        <f>AH38*AI33*AJ33</f>
        <v>54.599999999999994</v>
      </c>
      <c r="AL33" s="98">
        <f>AH38*AI33</f>
        <v>18.2</v>
      </c>
      <c r="AM33" s="101">
        <f t="shared" si="2"/>
        <v>36.399999999999991</v>
      </c>
      <c r="AQ33" s="383"/>
      <c r="AR33" s="384"/>
      <c r="AS33" s="384"/>
      <c r="AT33" s="384"/>
      <c r="AU33" s="384"/>
      <c r="AV33" s="384"/>
      <c r="AW33" s="384"/>
      <c r="AX33" s="384"/>
      <c r="AY33" s="388"/>
      <c r="AZ33" s="143"/>
      <c r="BA33" s="144"/>
    </row>
    <row r="34" spans="1:53" ht="16.5" hidden="1" customHeight="1" thickBot="1" x14ac:dyDescent="0.3">
      <c r="T34" s="408"/>
      <c r="U34" s="409"/>
      <c r="V34" s="409"/>
      <c r="W34" s="409"/>
      <c r="X34" s="409"/>
      <c r="Y34" s="409"/>
      <c r="Z34" s="409"/>
      <c r="AA34" s="410"/>
      <c r="AC34" s="96">
        <v>21</v>
      </c>
      <c r="AD34" s="97">
        <v>43241</v>
      </c>
      <c r="AE34" s="98" t="s">
        <v>169</v>
      </c>
      <c r="AF34" s="98" t="s">
        <v>170</v>
      </c>
      <c r="AG34" s="98">
        <v>236</v>
      </c>
      <c r="AH34" s="105">
        <v>0.28000000000000003</v>
      </c>
      <c r="AI34" s="98">
        <f>34*2</f>
        <v>68</v>
      </c>
      <c r="AJ34" s="98">
        <v>4</v>
      </c>
      <c r="AK34" s="98">
        <f t="shared" si="0"/>
        <v>76.160000000000011</v>
      </c>
      <c r="AL34" s="98">
        <f t="shared" si="1"/>
        <v>19.040000000000003</v>
      </c>
      <c r="AM34" s="101">
        <f t="shared" si="2"/>
        <v>57.120000000000005</v>
      </c>
      <c r="AQ34" s="385"/>
      <c r="AR34" s="386"/>
      <c r="AS34" s="386"/>
      <c r="AT34" s="386"/>
      <c r="AU34" s="386"/>
      <c r="AV34" s="386"/>
      <c r="AW34" s="386"/>
      <c r="AX34" s="386"/>
      <c r="AY34" s="389"/>
      <c r="AZ34" s="143"/>
      <c r="BA34" s="144"/>
    </row>
    <row r="35" spans="1:53" ht="16.5" hidden="1" customHeight="1" thickBot="1" x14ac:dyDescent="0.3">
      <c r="A35" s="390">
        <v>2018</v>
      </c>
      <c r="B35" s="391"/>
      <c r="C35" s="391"/>
      <c r="D35" s="391"/>
      <c r="E35" s="391"/>
      <c r="F35" s="391"/>
      <c r="G35" s="391"/>
      <c r="H35" s="391"/>
      <c r="I35" s="391"/>
      <c r="J35" s="391"/>
      <c r="K35" s="391"/>
      <c r="L35" s="391"/>
      <c r="M35" s="391"/>
      <c r="N35" s="391"/>
      <c r="O35" s="391"/>
      <c r="P35" s="392"/>
      <c r="T35" s="411"/>
      <c r="U35" s="412"/>
      <c r="V35" s="412"/>
      <c r="W35" s="412"/>
      <c r="X35" s="412"/>
      <c r="Y35" s="412"/>
      <c r="Z35" s="412"/>
      <c r="AA35" s="413"/>
      <c r="AC35" s="96">
        <v>22</v>
      </c>
      <c r="AD35" s="97">
        <v>43242</v>
      </c>
      <c r="AE35" s="98" t="s">
        <v>169</v>
      </c>
      <c r="AF35" s="98" t="s">
        <v>224</v>
      </c>
      <c r="AG35" s="98">
        <v>252</v>
      </c>
      <c r="AH35" s="105">
        <v>0.36</v>
      </c>
      <c r="AI35" s="98">
        <f>21*2</f>
        <v>42</v>
      </c>
      <c r="AJ35" s="98">
        <v>2</v>
      </c>
      <c r="AK35" s="98">
        <f t="shared" si="0"/>
        <v>30.24</v>
      </c>
      <c r="AL35" s="98">
        <f t="shared" si="1"/>
        <v>15.12</v>
      </c>
      <c r="AM35" s="101">
        <f t="shared" si="2"/>
        <v>15.12</v>
      </c>
      <c r="AQ35" s="526">
        <v>2017</v>
      </c>
      <c r="AR35" s="527"/>
      <c r="AS35" s="527"/>
      <c r="AT35" s="527"/>
      <c r="AU35" s="528"/>
      <c r="AV35" s="526">
        <v>2018</v>
      </c>
      <c r="AW35" s="527"/>
      <c r="AX35" s="527"/>
      <c r="AY35" s="528"/>
    </row>
    <row r="36" spans="1:53" ht="66.75" hidden="1" thickBot="1" x14ac:dyDescent="0.3">
      <c r="A36" s="396" t="s">
        <v>151</v>
      </c>
      <c r="B36" s="397"/>
      <c r="C36" s="397"/>
      <c r="D36" s="397"/>
      <c r="E36" s="397"/>
      <c r="F36" s="397"/>
      <c r="G36" s="397"/>
      <c r="H36" s="398"/>
      <c r="I36" s="396" t="s">
        <v>152</v>
      </c>
      <c r="J36" s="397"/>
      <c r="K36" s="397"/>
      <c r="L36" s="397"/>
      <c r="M36" s="397"/>
      <c r="N36" s="397"/>
      <c r="O36" s="397"/>
      <c r="P36" s="398"/>
      <c r="T36" s="411"/>
      <c r="U36" s="412"/>
      <c r="V36" s="412"/>
      <c r="W36" s="412"/>
      <c r="X36" s="412"/>
      <c r="Y36" s="412"/>
      <c r="Z36" s="412"/>
      <c r="AA36" s="413"/>
      <c r="AC36" s="96">
        <v>23</v>
      </c>
      <c r="AD36" s="97">
        <v>43245</v>
      </c>
      <c r="AE36" s="98" t="s">
        <v>169</v>
      </c>
      <c r="AF36" s="98" t="s">
        <v>170</v>
      </c>
      <c r="AG36" s="98">
        <v>155</v>
      </c>
      <c r="AH36" s="105">
        <v>0.34</v>
      </c>
      <c r="AI36" s="98">
        <f>34*2</f>
        <v>68</v>
      </c>
      <c r="AJ36" s="98">
        <v>4</v>
      </c>
      <c r="AK36" s="98">
        <f t="shared" si="0"/>
        <v>92.48</v>
      </c>
      <c r="AL36" s="98">
        <f t="shared" si="1"/>
        <v>23.12</v>
      </c>
      <c r="AM36" s="101">
        <f t="shared" si="2"/>
        <v>69.36</v>
      </c>
      <c r="AQ36" s="145" t="s">
        <v>158</v>
      </c>
      <c r="AR36" s="146" t="s">
        <v>225</v>
      </c>
      <c r="AS36" s="147" t="s">
        <v>162</v>
      </c>
      <c r="AT36" s="148" t="s">
        <v>226</v>
      </c>
      <c r="AU36" s="149" t="s">
        <v>227</v>
      </c>
      <c r="AV36" s="150" t="s">
        <v>225</v>
      </c>
      <c r="AW36" s="151" t="s">
        <v>162</v>
      </c>
      <c r="AX36" s="152" t="s">
        <v>226</v>
      </c>
      <c r="AY36" s="148" t="s">
        <v>227</v>
      </c>
    </row>
    <row r="37" spans="1:53" hidden="1" x14ac:dyDescent="0.25">
      <c r="A37" s="399" t="s">
        <v>228</v>
      </c>
      <c r="B37" s="400"/>
      <c r="C37" s="400"/>
      <c r="D37" s="400"/>
      <c r="E37" s="400"/>
      <c r="F37" s="400"/>
      <c r="G37" s="400"/>
      <c r="H37" s="401"/>
      <c r="I37" s="399" t="s">
        <v>229</v>
      </c>
      <c r="J37" s="400"/>
      <c r="K37" s="400"/>
      <c r="L37" s="400"/>
      <c r="M37" s="400"/>
      <c r="N37" s="400"/>
      <c r="O37" s="400"/>
      <c r="P37" s="401"/>
      <c r="T37" s="411"/>
      <c r="U37" s="412"/>
      <c r="V37" s="412"/>
      <c r="W37" s="412"/>
      <c r="X37" s="412"/>
      <c r="Y37" s="412"/>
      <c r="Z37" s="412"/>
      <c r="AA37" s="413"/>
      <c r="AC37" s="96">
        <v>24</v>
      </c>
      <c r="AD37" s="97">
        <v>43249</v>
      </c>
      <c r="AE37" s="98" t="s">
        <v>169</v>
      </c>
      <c r="AF37" s="98" t="s">
        <v>170</v>
      </c>
      <c r="AG37" s="98">
        <v>252</v>
      </c>
      <c r="AH37" s="105">
        <v>0.36</v>
      </c>
      <c r="AI37" s="98">
        <f>34*2</f>
        <v>68</v>
      </c>
      <c r="AJ37" s="98">
        <v>2</v>
      </c>
      <c r="AK37" s="98">
        <f t="shared" si="0"/>
        <v>48.96</v>
      </c>
      <c r="AL37" s="98">
        <f t="shared" si="1"/>
        <v>24.48</v>
      </c>
      <c r="AM37" s="101">
        <f t="shared" si="2"/>
        <v>24.48</v>
      </c>
      <c r="AQ37" s="153">
        <v>1</v>
      </c>
      <c r="AR37" s="154"/>
      <c r="AS37" s="154"/>
      <c r="AT37" s="154"/>
      <c r="AU37" s="155">
        <f t="shared" ref="AU37:AU66" si="6">AT37*$AW$19</f>
        <v>0</v>
      </c>
      <c r="AV37" s="156"/>
      <c r="AW37" s="157"/>
      <c r="AX37" s="157"/>
      <c r="AY37" s="158">
        <f t="shared" ref="AY37:AY66" si="7">AX37*$AW$19</f>
        <v>0</v>
      </c>
    </row>
    <row r="38" spans="1:53" hidden="1" x14ac:dyDescent="0.25">
      <c r="A38" s="402"/>
      <c r="B38" s="403"/>
      <c r="C38" s="403"/>
      <c r="D38" s="403"/>
      <c r="E38" s="403"/>
      <c r="F38" s="403"/>
      <c r="G38" s="403"/>
      <c r="H38" s="404"/>
      <c r="I38" s="402"/>
      <c r="J38" s="403"/>
      <c r="K38" s="403"/>
      <c r="L38" s="403"/>
      <c r="M38" s="403"/>
      <c r="N38" s="403"/>
      <c r="O38" s="403"/>
      <c r="P38" s="404"/>
      <c r="T38" s="411"/>
      <c r="U38" s="412"/>
      <c r="V38" s="412"/>
      <c r="W38" s="412"/>
      <c r="X38" s="412"/>
      <c r="Y38" s="412"/>
      <c r="Z38" s="412"/>
      <c r="AA38" s="413"/>
      <c r="AC38" s="96">
        <v>25</v>
      </c>
      <c r="AD38" s="97">
        <v>43252</v>
      </c>
      <c r="AE38" s="98" t="s">
        <v>169</v>
      </c>
      <c r="AF38" s="98" t="s">
        <v>176</v>
      </c>
      <c r="AG38" s="98">
        <v>156</v>
      </c>
      <c r="AH38" s="105">
        <v>0.35</v>
      </c>
      <c r="AI38" s="98">
        <f>148*2</f>
        <v>296</v>
      </c>
      <c r="AJ38" s="98">
        <v>2</v>
      </c>
      <c r="AK38" s="98">
        <f t="shared" si="0"/>
        <v>207.2</v>
      </c>
      <c r="AL38" s="98">
        <f t="shared" si="1"/>
        <v>103.6</v>
      </c>
      <c r="AM38" s="101">
        <f t="shared" si="2"/>
        <v>103.6</v>
      </c>
      <c r="AQ38" s="96">
        <v>2</v>
      </c>
      <c r="AR38" s="98"/>
      <c r="AS38" s="98"/>
      <c r="AT38" s="98"/>
      <c r="AU38" s="159">
        <f t="shared" si="6"/>
        <v>0</v>
      </c>
      <c r="AV38" s="160"/>
      <c r="AW38" s="161"/>
      <c r="AX38" s="161"/>
      <c r="AY38" s="158">
        <f t="shared" si="7"/>
        <v>0</v>
      </c>
    </row>
    <row r="39" spans="1:53" ht="16.5" hidden="1" thickBot="1" x14ac:dyDescent="0.3">
      <c r="A39" s="402"/>
      <c r="B39" s="403"/>
      <c r="C39" s="403"/>
      <c r="D39" s="403"/>
      <c r="E39" s="403"/>
      <c r="F39" s="403"/>
      <c r="G39" s="403"/>
      <c r="H39" s="404"/>
      <c r="I39" s="402"/>
      <c r="J39" s="403"/>
      <c r="K39" s="403"/>
      <c r="L39" s="403"/>
      <c r="M39" s="403"/>
      <c r="N39" s="403"/>
      <c r="O39" s="403"/>
      <c r="P39" s="404"/>
      <c r="T39" s="414"/>
      <c r="U39" s="415"/>
      <c r="V39" s="415"/>
      <c r="W39" s="415"/>
      <c r="X39" s="415"/>
      <c r="Y39" s="415"/>
      <c r="Z39" s="415"/>
      <c r="AA39" s="416"/>
      <c r="AC39" s="96">
        <v>26</v>
      </c>
      <c r="AD39" s="97">
        <v>43256</v>
      </c>
      <c r="AE39" s="98" t="s">
        <v>169</v>
      </c>
      <c r="AF39" s="98" t="s">
        <v>170</v>
      </c>
      <c r="AG39" s="98">
        <v>252</v>
      </c>
      <c r="AH39" s="105">
        <v>0.36</v>
      </c>
      <c r="AI39" s="98">
        <f>34*2</f>
        <v>68</v>
      </c>
      <c r="AJ39" s="98">
        <v>3</v>
      </c>
      <c r="AK39" s="98">
        <f t="shared" si="0"/>
        <v>73.44</v>
      </c>
      <c r="AL39" s="98">
        <f t="shared" si="1"/>
        <v>24.48</v>
      </c>
      <c r="AM39" s="101">
        <f t="shared" si="2"/>
        <v>48.959999999999994</v>
      </c>
      <c r="AQ39" s="96">
        <v>3</v>
      </c>
      <c r="AR39" s="98"/>
      <c r="AS39" s="98"/>
      <c r="AT39" s="98"/>
      <c r="AU39" s="159">
        <f t="shared" si="6"/>
        <v>0</v>
      </c>
      <c r="AV39" s="160"/>
      <c r="AW39" s="161"/>
      <c r="AX39" s="161"/>
      <c r="AY39" s="158">
        <f t="shared" si="7"/>
        <v>0</v>
      </c>
    </row>
    <row r="40" spans="1:53" ht="16.5" hidden="1" thickBot="1" x14ac:dyDescent="0.3">
      <c r="A40" s="405"/>
      <c r="B40" s="406"/>
      <c r="C40" s="406"/>
      <c r="D40" s="406"/>
      <c r="E40" s="406"/>
      <c r="F40" s="406"/>
      <c r="G40" s="406"/>
      <c r="H40" s="407"/>
      <c r="I40" s="405"/>
      <c r="J40" s="406"/>
      <c r="K40" s="406"/>
      <c r="L40" s="406"/>
      <c r="M40" s="406"/>
      <c r="N40" s="406"/>
      <c r="O40" s="406"/>
      <c r="P40" s="407"/>
      <c r="T40" s="423" t="s">
        <v>212</v>
      </c>
      <c r="U40" s="424"/>
      <c r="V40" s="424"/>
      <c r="W40" s="424"/>
      <c r="X40" s="490"/>
      <c r="Y40" s="490"/>
      <c r="Z40" s="490"/>
      <c r="AA40" s="491"/>
      <c r="AC40" s="96">
        <v>27</v>
      </c>
      <c r="AD40" s="97">
        <v>43257</v>
      </c>
      <c r="AE40" s="98" t="s">
        <v>169</v>
      </c>
      <c r="AF40" s="98" t="s">
        <v>230</v>
      </c>
      <c r="AG40" s="98">
        <v>252</v>
      </c>
      <c r="AH40" s="105">
        <v>0.36</v>
      </c>
      <c r="AI40" s="98">
        <f>22*2</f>
        <v>44</v>
      </c>
      <c r="AJ40" s="98">
        <v>3</v>
      </c>
      <c r="AK40" s="98">
        <f t="shared" si="0"/>
        <v>47.519999999999996</v>
      </c>
      <c r="AL40" s="98">
        <f t="shared" si="1"/>
        <v>15.84</v>
      </c>
      <c r="AM40" s="101">
        <f t="shared" si="2"/>
        <v>31.679999999999996</v>
      </c>
      <c r="AQ40" s="96">
        <v>4</v>
      </c>
      <c r="AR40" s="98"/>
      <c r="AS40" s="98"/>
      <c r="AT40" s="98"/>
      <c r="AU40" s="159">
        <f t="shared" si="6"/>
        <v>0</v>
      </c>
      <c r="AV40" s="160"/>
      <c r="AW40" s="161"/>
      <c r="AX40" s="161"/>
      <c r="AY40" s="158">
        <f t="shared" si="7"/>
        <v>0</v>
      </c>
    </row>
    <row r="41" spans="1:53" ht="16.5" hidden="1" thickBot="1" x14ac:dyDescent="0.3">
      <c r="A41" s="396" t="s">
        <v>171</v>
      </c>
      <c r="B41" s="397"/>
      <c r="C41" s="397"/>
      <c r="D41" s="397"/>
      <c r="E41" s="397"/>
      <c r="F41" s="397"/>
      <c r="G41" s="397"/>
      <c r="H41" s="398"/>
      <c r="I41" s="396" t="s">
        <v>172</v>
      </c>
      <c r="J41" s="397"/>
      <c r="K41" s="397"/>
      <c r="L41" s="397"/>
      <c r="M41" s="397"/>
      <c r="N41" s="397"/>
      <c r="O41" s="397"/>
      <c r="P41" s="398"/>
      <c r="T41" s="513"/>
      <c r="U41" s="514"/>
      <c r="V41" s="514"/>
      <c r="W41" s="514"/>
      <c r="X41" s="514"/>
      <c r="Y41" s="514"/>
      <c r="Z41" s="514"/>
      <c r="AA41" s="515"/>
      <c r="AC41" s="96">
        <v>28</v>
      </c>
      <c r="AD41" s="97">
        <v>43265</v>
      </c>
      <c r="AE41" s="98" t="s">
        <v>169</v>
      </c>
      <c r="AF41" s="98" t="s">
        <v>176</v>
      </c>
      <c r="AG41" s="98">
        <v>156</v>
      </c>
      <c r="AH41" s="105">
        <v>0.35</v>
      </c>
      <c r="AI41" s="98">
        <f>148*2</f>
        <v>296</v>
      </c>
      <c r="AJ41" s="98">
        <v>2</v>
      </c>
      <c r="AK41" s="98">
        <f t="shared" si="0"/>
        <v>207.2</v>
      </c>
      <c r="AL41" s="98">
        <f t="shared" si="1"/>
        <v>103.6</v>
      </c>
      <c r="AM41" s="101">
        <f t="shared" si="2"/>
        <v>103.6</v>
      </c>
      <c r="AQ41" s="96">
        <v>5</v>
      </c>
      <c r="AR41" s="98"/>
      <c r="AS41" s="98"/>
      <c r="AT41" s="98"/>
      <c r="AU41" s="159">
        <f t="shared" si="6"/>
        <v>0</v>
      </c>
      <c r="AV41" s="160"/>
      <c r="AW41" s="161"/>
      <c r="AX41" s="161"/>
      <c r="AY41" s="158">
        <f t="shared" si="7"/>
        <v>0</v>
      </c>
    </row>
    <row r="42" spans="1:53" ht="69.75" hidden="1" customHeight="1" thickBot="1" x14ac:dyDescent="0.3">
      <c r="A42" s="411" t="s">
        <v>173</v>
      </c>
      <c r="B42" s="412"/>
      <c r="C42" s="412"/>
      <c r="D42" s="412"/>
      <c r="E42" s="412"/>
      <c r="F42" s="412"/>
      <c r="G42" s="412"/>
      <c r="H42" s="412"/>
      <c r="I42" s="396" t="s">
        <v>174</v>
      </c>
      <c r="J42" s="397"/>
      <c r="K42" s="397"/>
      <c r="L42" s="398"/>
      <c r="M42" s="396" t="s">
        <v>175</v>
      </c>
      <c r="N42" s="397"/>
      <c r="O42" s="397"/>
      <c r="P42" s="398"/>
      <c r="T42" s="519"/>
      <c r="U42" s="520"/>
      <c r="V42" s="520"/>
      <c r="W42" s="520"/>
      <c r="X42" s="520"/>
      <c r="Y42" s="520"/>
      <c r="Z42" s="520"/>
      <c r="AA42" s="521"/>
      <c r="AC42" s="96">
        <v>29</v>
      </c>
      <c r="AD42" s="97">
        <v>43263</v>
      </c>
      <c r="AE42" s="98" t="s">
        <v>169</v>
      </c>
      <c r="AF42" s="98" t="s">
        <v>170</v>
      </c>
      <c r="AG42" s="98">
        <v>171</v>
      </c>
      <c r="AH42" s="105">
        <v>0.4</v>
      </c>
      <c r="AI42" s="98">
        <f>34*2</f>
        <v>68</v>
      </c>
      <c r="AJ42" s="98">
        <v>4</v>
      </c>
      <c r="AK42" s="98">
        <f t="shared" si="0"/>
        <v>108.80000000000001</v>
      </c>
      <c r="AL42" s="98">
        <f t="shared" si="1"/>
        <v>27.200000000000003</v>
      </c>
      <c r="AM42" s="101">
        <f t="shared" si="2"/>
        <v>81.600000000000009</v>
      </c>
      <c r="AQ42" s="96">
        <v>6</v>
      </c>
      <c r="AR42" s="98"/>
      <c r="AS42" s="98"/>
      <c r="AT42" s="98"/>
      <c r="AU42" s="159">
        <f t="shared" si="6"/>
        <v>0</v>
      </c>
      <c r="AV42" s="160"/>
      <c r="AW42" s="161"/>
      <c r="AX42" s="161"/>
      <c r="AY42" s="158">
        <f t="shared" si="7"/>
        <v>0</v>
      </c>
    </row>
    <row r="43" spans="1:53" ht="35.25" hidden="1" thickBot="1" x14ac:dyDescent="0.3">
      <c r="A43" s="396" t="s">
        <v>182</v>
      </c>
      <c r="B43" s="397"/>
      <c r="C43" s="397"/>
      <c r="D43" s="397"/>
      <c r="E43" s="397"/>
      <c r="F43" s="397"/>
      <c r="G43" s="397"/>
      <c r="H43" s="398"/>
      <c r="I43" s="106" t="s">
        <v>162</v>
      </c>
      <c r="J43" s="106" t="s">
        <v>183</v>
      </c>
      <c r="K43" s="106" t="s">
        <v>184</v>
      </c>
      <c r="L43" s="106" t="s">
        <v>231</v>
      </c>
      <c r="M43" s="106" t="s">
        <v>162</v>
      </c>
      <c r="N43" s="106" t="s">
        <v>183</v>
      </c>
      <c r="O43" s="106" t="s">
        <v>184</v>
      </c>
      <c r="P43" s="106" t="s">
        <v>185</v>
      </c>
      <c r="AC43" s="96">
        <v>30</v>
      </c>
      <c r="AD43" s="97">
        <v>43300</v>
      </c>
      <c r="AE43" s="98" t="s">
        <v>169</v>
      </c>
      <c r="AF43" s="98" t="s">
        <v>170</v>
      </c>
      <c r="AG43" s="98">
        <v>246</v>
      </c>
      <c r="AH43" s="105">
        <v>0.28999999999999998</v>
      </c>
      <c r="AI43" s="98">
        <f>34*2</f>
        <v>68</v>
      </c>
      <c r="AJ43" s="98">
        <v>2</v>
      </c>
      <c r="AK43" s="98">
        <f t="shared" si="0"/>
        <v>39.44</v>
      </c>
      <c r="AL43" s="98">
        <f t="shared" si="1"/>
        <v>19.72</v>
      </c>
      <c r="AM43" s="101">
        <f t="shared" si="2"/>
        <v>19.72</v>
      </c>
      <c r="AQ43" s="96">
        <v>7</v>
      </c>
      <c r="AR43" s="98"/>
      <c r="AS43" s="98"/>
      <c r="AT43" s="98"/>
      <c r="AU43" s="159">
        <f t="shared" si="6"/>
        <v>0</v>
      </c>
      <c r="AV43" s="160"/>
      <c r="AW43" s="161"/>
      <c r="AX43" s="161"/>
      <c r="AY43" s="158">
        <f t="shared" si="7"/>
        <v>0</v>
      </c>
    </row>
    <row r="44" spans="1:53" ht="16.5" hidden="1" thickBot="1" x14ac:dyDescent="0.3">
      <c r="A44" s="408" t="s">
        <v>188</v>
      </c>
      <c r="B44" s="409"/>
      <c r="C44" s="409"/>
      <c r="D44" s="409"/>
      <c r="E44" s="409"/>
      <c r="F44" s="409"/>
      <c r="G44" s="409"/>
      <c r="H44" s="410"/>
      <c r="I44" s="109" t="s">
        <v>189</v>
      </c>
      <c r="J44" s="110">
        <f>11122-J19</f>
        <v>11046</v>
      </c>
      <c r="K44" s="437">
        <v>101.28</v>
      </c>
      <c r="L44" s="162">
        <f>($K$44/1000)*J44</f>
        <v>1118.7388799999999</v>
      </c>
      <c r="M44" s="112" t="s">
        <v>190</v>
      </c>
      <c r="N44" s="110">
        <f>J44</f>
        <v>11046</v>
      </c>
      <c r="O44" s="110">
        <v>229.91</v>
      </c>
      <c r="P44" s="130">
        <f>(O44/1000)*N44</f>
        <v>2539.5858600000001</v>
      </c>
      <c r="T44" s="393">
        <v>2019</v>
      </c>
      <c r="U44" s="394"/>
      <c r="V44" s="394"/>
      <c r="W44" s="394"/>
      <c r="X44" s="394"/>
      <c r="Y44" s="394"/>
      <c r="Z44" s="394"/>
      <c r="AA44" s="395"/>
      <c r="AC44" s="96">
        <v>31</v>
      </c>
      <c r="AD44" s="97">
        <v>43305</v>
      </c>
      <c r="AE44" s="98" t="s">
        <v>169</v>
      </c>
      <c r="AF44" s="98" t="s">
        <v>170</v>
      </c>
      <c r="AG44" s="98">
        <v>156</v>
      </c>
      <c r="AH44" s="105">
        <v>0.35</v>
      </c>
      <c r="AI44" s="98">
        <f t="shared" ref="AI44:AI45" si="8">34*2</f>
        <v>68</v>
      </c>
      <c r="AJ44" s="116">
        <v>3</v>
      </c>
      <c r="AK44" s="98">
        <f t="shared" si="0"/>
        <v>71.399999999999991</v>
      </c>
      <c r="AL44" s="98">
        <f t="shared" si="1"/>
        <v>23.799999999999997</v>
      </c>
      <c r="AM44" s="101">
        <f t="shared" si="2"/>
        <v>47.599999999999994</v>
      </c>
      <c r="AQ44" s="96">
        <v>8</v>
      </c>
      <c r="AR44" s="98"/>
      <c r="AS44" s="98"/>
      <c r="AT44" s="98"/>
      <c r="AU44" s="159">
        <f t="shared" si="6"/>
        <v>0</v>
      </c>
      <c r="AV44" s="160"/>
      <c r="AW44" s="161"/>
      <c r="AX44" s="161"/>
      <c r="AY44" s="158">
        <f t="shared" si="7"/>
        <v>0</v>
      </c>
    </row>
    <row r="45" spans="1:53" ht="16.5" hidden="1" thickBot="1" x14ac:dyDescent="0.3">
      <c r="A45" s="411"/>
      <c r="B45" s="412"/>
      <c r="C45" s="412"/>
      <c r="D45" s="412"/>
      <c r="E45" s="412"/>
      <c r="F45" s="412"/>
      <c r="G45" s="412"/>
      <c r="H45" s="413"/>
      <c r="I45" s="96" t="s">
        <v>194</v>
      </c>
      <c r="J45" s="98">
        <f>9250-J20</f>
        <v>8807</v>
      </c>
      <c r="K45" s="438"/>
      <c r="L45" s="163">
        <f>($K$19/1000)*J45</f>
        <v>891.97295999999994</v>
      </c>
      <c r="M45" s="115" t="s">
        <v>195</v>
      </c>
      <c r="N45" s="116">
        <f>J45</f>
        <v>8807</v>
      </c>
      <c r="O45" s="116">
        <v>460.44</v>
      </c>
      <c r="P45" s="164">
        <f>(O45/1000)*N45</f>
        <v>4055.0950800000001</v>
      </c>
      <c r="T45" s="396" t="s">
        <v>151</v>
      </c>
      <c r="U45" s="397"/>
      <c r="V45" s="397"/>
      <c r="W45" s="397"/>
      <c r="X45" s="396" t="s">
        <v>152</v>
      </c>
      <c r="Y45" s="397"/>
      <c r="Z45" s="397"/>
      <c r="AA45" s="398"/>
      <c r="AC45" s="96">
        <v>32</v>
      </c>
      <c r="AD45" s="122">
        <v>43307</v>
      </c>
      <c r="AE45" s="98" t="s">
        <v>169</v>
      </c>
      <c r="AF45" s="98" t="s">
        <v>170</v>
      </c>
      <c r="AG45" s="116">
        <v>156</v>
      </c>
      <c r="AH45" s="105">
        <v>0.35</v>
      </c>
      <c r="AI45" s="98">
        <f t="shared" si="8"/>
        <v>68</v>
      </c>
      <c r="AJ45" s="116">
        <v>3</v>
      </c>
      <c r="AK45" s="98">
        <f t="shared" si="0"/>
        <v>71.399999999999991</v>
      </c>
      <c r="AL45" s="98">
        <f t="shared" si="1"/>
        <v>23.799999999999997</v>
      </c>
      <c r="AM45" s="101">
        <f t="shared" si="2"/>
        <v>47.599999999999994</v>
      </c>
      <c r="AQ45" s="96">
        <v>9</v>
      </c>
      <c r="AR45" s="98"/>
      <c r="AS45" s="98"/>
      <c r="AT45" s="98"/>
      <c r="AU45" s="159">
        <f t="shared" si="6"/>
        <v>0</v>
      </c>
      <c r="AV45" s="160"/>
      <c r="AW45" s="161"/>
      <c r="AX45" s="161"/>
      <c r="AY45" s="158">
        <f t="shared" si="7"/>
        <v>0</v>
      </c>
    </row>
    <row r="46" spans="1:53" hidden="1" x14ac:dyDescent="0.25">
      <c r="A46" s="411"/>
      <c r="B46" s="412"/>
      <c r="C46" s="412"/>
      <c r="D46" s="412"/>
      <c r="E46" s="412"/>
      <c r="F46" s="412"/>
      <c r="G46" s="412"/>
      <c r="H46" s="413"/>
      <c r="I46" s="118" t="s">
        <v>199</v>
      </c>
      <c r="J46" s="165">
        <f>8961-J21</f>
        <v>8961</v>
      </c>
      <c r="K46" s="438"/>
      <c r="L46" s="163">
        <f t="shared" ref="L46:L47" si="9">($K$19/1000)*J46</f>
        <v>907.57007999999996</v>
      </c>
      <c r="M46" s="119" t="s">
        <v>200</v>
      </c>
      <c r="N46" s="163">
        <f>J46</f>
        <v>8961</v>
      </c>
      <c r="O46" s="98">
        <v>460.44</v>
      </c>
      <c r="P46" s="164">
        <f>(O46/1000)*N46</f>
        <v>4126.0028400000001</v>
      </c>
      <c r="T46" s="408" t="s">
        <v>155</v>
      </c>
      <c r="U46" s="409"/>
      <c r="V46" s="409"/>
      <c r="W46" s="410"/>
      <c r="X46" s="408" t="s">
        <v>156</v>
      </c>
      <c r="Y46" s="409"/>
      <c r="Z46" s="409"/>
      <c r="AA46" s="410"/>
      <c r="AC46" s="96">
        <v>33</v>
      </c>
      <c r="AD46" s="122">
        <v>43306</v>
      </c>
      <c r="AE46" s="98" t="s">
        <v>169</v>
      </c>
      <c r="AF46" s="98" t="s">
        <v>176</v>
      </c>
      <c r="AG46" s="116">
        <v>157</v>
      </c>
      <c r="AH46" s="163">
        <v>0.33</v>
      </c>
      <c r="AI46" s="116">
        <f>148*2</f>
        <v>296</v>
      </c>
      <c r="AJ46" s="116">
        <v>2</v>
      </c>
      <c r="AK46" s="98">
        <f t="shared" si="0"/>
        <v>195.36</v>
      </c>
      <c r="AL46" s="98">
        <f t="shared" si="1"/>
        <v>97.68</v>
      </c>
      <c r="AM46" s="101">
        <f t="shared" si="2"/>
        <v>97.68</v>
      </c>
      <c r="AQ46" s="96">
        <v>10</v>
      </c>
      <c r="AR46" s="98"/>
      <c r="AS46" s="98"/>
      <c r="AT46" s="98"/>
      <c r="AU46" s="159">
        <f t="shared" si="6"/>
        <v>0</v>
      </c>
      <c r="AV46" s="160"/>
      <c r="AW46" s="161"/>
      <c r="AX46" s="161"/>
      <c r="AY46" s="158">
        <f t="shared" si="7"/>
        <v>0</v>
      </c>
    </row>
    <row r="47" spans="1:53" ht="16.5" hidden="1" thickBot="1" x14ac:dyDescent="0.3">
      <c r="A47" s="411"/>
      <c r="B47" s="412"/>
      <c r="C47" s="412"/>
      <c r="D47" s="412"/>
      <c r="E47" s="412"/>
      <c r="F47" s="412"/>
      <c r="G47" s="412"/>
      <c r="H47" s="413"/>
      <c r="I47" s="123" t="s">
        <v>205</v>
      </c>
      <c r="J47" s="166">
        <f>13370-J22</f>
        <v>12952</v>
      </c>
      <c r="K47" s="439"/>
      <c r="L47" s="163">
        <f t="shared" si="9"/>
        <v>1311.77856</v>
      </c>
      <c r="M47" s="125" t="s">
        <v>206</v>
      </c>
      <c r="N47" s="167">
        <f>J47</f>
        <v>12952</v>
      </c>
      <c r="O47" s="126">
        <v>178.33</v>
      </c>
      <c r="P47" s="164">
        <f t="shared" ref="P47" si="10">(O47/1000)*N47</f>
        <v>2309.7301600000001</v>
      </c>
      <c r="T47" s="411"/>
      <c r="U47" s="412"/>
      <c r="V47" s="412"/>
      <c r="W47" s="413"/>
      <c r="X47" s="411"/>
      <c r="Y47" s="412"/>
      <c r="Z47" s="412"/>
      <c r="AA47" s="413"/>
      <c r="AC47" s="96">
        <v>34</v>
      </c>
      <c r="AD47" s="122">
        <v>43307</v>
      </c>
      <c r="AE47" s="98" t="s">
        <v>169</v>
      </c>
      <c r="AF47" s="98" t="s">
        <v>176</v>
      </c>
      <c r="AG47" s="116">
        <v>155</v>
      </c>
      <c r="AH47" s="105">
        <v>0.34</v>
      </c>
      <c r="AI47" s="116">
        <f>148*2</f>
        <v>296</v>
      </c>
      <c r="AJ47" s="116">
        <v>2</v>
      </c>
      <c r="AK47" s="98">
        <f t="shared" si="0"/>
        <v>201.28</v>
      </c>
      <c r="AL47" s="98">
        <f t="shared" si="1"/>
        <v>100.64</v>
      </c>
      <c r="AM47" s="101">
        <f t="shared" si="2"/>
        <v>100.64</v>
      </c>
      <c r="AQ47" s="96">
        <v>11</v>
      </c>
      <c r="AR47" s="98"/>
      <c r="AS47" s="98"/>
      <c r="AT47" s="98"/>
      <c r="AU47" s="159">
        <f t="shared" si="6"/>
        <v>0</v>
      </c>
      <c r="AV47" s="160"/>
      <c r="AW47" s="161"/>
      <c r="AX47" s="161"/>
      <c r="AY47" s="158">
        <f t="shared" si="7"/>
        <v>0</v>
      </c>
    </row>
    <row r="48" spans="1:53" hidden="1" x14ac:dyDescent="0.25">
      <c r="A48" s="411"/>
      <c r="B48" s="412"/>
      <c r="C48" s="412"/>
      <c r="D48" s="412"/>
      <c r="E48" s="412"/>
      <c r="F48" s="412"/>
      <c r="G48" s="412"/>
      <c r="H48" s="413"/>
      <c r="I48" s="453" t="s">
        <v>0</v>
      </c>
      <c r="J48" s="456">
        <f>SUM(J44:J47)</f>
        <v>41766</v>
      </c>
      <c r="K48" s="437" t="s">
        <v>209</v>
      </c>
      <c r="L48" s="529">
        <f>SUM(L44:L47)</f>
        <v>4230.0604800000001</v>
      </c>
      <c r="M48" s="453" t="s">
        <v>0</v>
      </c>
      <c r="N48" s="456">
        <f>SUM(N44:N47)</f>
        <v>41766</v>
      </c>
      <c r="O48" s="437"/>
      <c r="P48" s="532">
        <f>SUM(P44:P47)</f>
        <v>13030.413939999999</v>
      </c>
      <c r="T48" s="411"/>
      <c r="U48" s="412"/>
      <c r="V48" s="412"/>
      <c r="W48" s="413"/>
      <c r="X48" s="411"/>
      <c r="Y48" s="412"/>
      <c r="Z48" s="412"/>
      <c r="AA48" s="413"/>
      <c r="AC48" s="96">
        <v>35</v>
      </c>
      <c r="AD48" s="122">
        <v>43304</v>
      </c>
      <c r="AE48" s="98" t="s">
        <v>169</v>
      </c>
      <c r="AF48" s="98" t="s">
        <v>170</v>
      </c>
      <c r="AG48" s="116">
        <v>157</v>
      </c>
      <c r="AH48" s="163">
        <v>0.33</v>
      </c>
      <c r="AI48" s="98">
        <f>34*2</f>
        <v>68</v>
      </c>
      <c r="AJ48" s="98">
        <v>2</v>
      </c>
      <c r="AK48" s="98">
        <f t="shared" si="0"/>
        <v>44.88</v>
      </c>
      <c r="AL48" s="98">
        <f t="shared" si="1"/>
        <v>22.44</v>
      </c>
      <c r="AM48" s="101">
        <f t="shared" si="2"/>
        <v>22.44</v>
      </c>
      <c r="AQ48" s="96">
        <v>12</v>
      </c>
      <c r="AR48" s="98"/>
      <c r="AS48" s="98"/>
      <c r="AT48" s="98"/>
      <c r="AU48" s="159">
        <f t="shared" si="6"/>
        <v>0</v>
      </c>
      <c r="AV48" s="160"/>
      <c r="AW48" s="161"/>
      <c r="AX48" s="161"/>
      <c r="AY48" s="158">
        <f t="shared" si="7"/>
        <v>0</v>
      </c>
    </row>
    <row r="49" spans="1:51" hidden="1" x14ac:dyDescent="0.25">
      <c r="A49" s="411"/>
      <c r="B49" s="412"/>
      <c r="C49" s="412"/>
      <c r="D49" s="412"/>
      <c r="E49" s="412"/>
      <c r="F49" s="412"/>
      <c r="G49" s="412"/>
      <c r="H49" s="413"/>
      <c r="I49" s="454"/>
      <c r="J49" s="457"/>
      <c r="K49" s="438"/>
      <c r="L49" s="530"/>
      <c r="M49" s="454"/>
      <c r="N49" s="457"/>
      <c r="O49" s="438"/>
      <c r="P49" s="533"/>
      <c r="T49" s="411"/>
      <c r="U49" s="412"/>
      <c r="V49" s="412"/>
      <c r="W49" s="413"/>
      <c r="X49" s="411"/>
      <c r="Y49" s="412"/>
      <c r="Z49" s="412"/>
      <c r="AA49" s="413"/>
      <c r="AC49" s="96">
        <v>36</v>
      </c>
      <c r="AD49" s="97">
        <v>43301</v>
      </c>
      <c r="AE49" s="98" t="s">
        <v>169</v>
      </c>
      <c r="AF49" s="98" t="s">
        <v>170</v>
      </c>
      <c r="AG49" s="98">
        <v>246</v>
      </c>
      <c r="AH49" s="105">
        <v>0.28999999999999998</v>
      </c>
      <c r="AI49" s="98">
        <f>34*2</f>
        <v>68</v>
      </c>
      <c r="AJ49" s="98">
        <v>2</v>
      </c>
      <c r="AK49" s="98">
        <f t="shared" si="0"/>
        <v>39.44</v>
      </c>
      <c r="AL49" s="98">
        <f t="shared" si="1"/>
        <v>19.72</v>
      </c>
      <c r="AM49" s="101">
        <f t="shared" si="2"/>
        <v>19.72</v>
      </c>
      <c r="AQ49" s="96">
        <v>13</v>
      </c>
      <c r="AR49" s="98"/>
      <c r="AS49" s="98"/>
      <c r="AT49" s="98"/>
      <c r="AU49" s="159">
        <f t="shared" si="6"/>
        <v>0</v>
      </c>
      <c r="AV49" s="160"/>
      <c r="AW49" s="161"/>
      <c r="AX49" s="161"/>
      <c r="AY49" s="158">
        <f t="shared" si="7"/>
        <v>0</v>
      </c>
    </row>
    <row r="50" spans="1:51" ht="16.5" hidden="1" thickBot="1" x14ac:dyDescent="0.3">
      <c r="A50" s="414"/>
      <c r="B50" s="415"/>
      <c r="C50" s="415"/>
      <c r="D50" s="415"/>
      <c r="E50" s="415"/>
      <c r="F50" s="415"/>
      <c r="G50" s="415"/>
      <c r="H50" s="416"/>
      <c r="I50" s="455"/>
      <c r="J50" s="458"/>
      <c r="K50" s="439"/>
      <c r="L50" s="531"/>
      <c r="M50" s="455"/>
      <c r="N50" s="458"/>
      <c r="O50" s="439"/>
      <c r="P50" s="534"/>
      <c r="T50" s="411"/>
      <c r="U50" s="412"/>
      <c r="V50" s="412"/>
      <c r="W50" s="413"/>
      <c r="X50" s="411"/>
      <c r="Y50" s="412"/>
      <c r="Z50" s="412"/>
      <c r="AA50" s="413"/>
      <c r="AC50" s="96">
        <v>37</v>
      </c>
      <c r="AD50" s="97">
        <v>43312</v>
      </c>
      <c r="AE50" s="98" t="s">
        <v>169</v>
      </c>
      <c r="AF50" s="98" t="s">
        <v>170</v>
      </c>
      <c r="AG50" s="98">
        <v>171</v>
      </c>
      <c r="AH50" s="105">
        <v>0.4</v>
      </c>
      <c r="AI50" s="98">
        <f>34*2</f>
        <v>68</v>
      </c>
      <c r="AJ50" s="116">
        <v>3</v>
      </c>
      <c r="AK50" s="98">
        <f t="shared" si="0"/>
        <v>81.600000000000009</v>
      </c>
      <c r="AL50" s="98">
        <f t="shared" si="1"/>
        <v>27.200000000000003</v>
      </c>
      <c r="AM50" s="101">
        <f t="shared" si="2"/>
        <v>54.400000000000006</v>
      </c>
      <c r="AQ50" s="96">
        <v>14</v>
      </c>
      <c r="AR50" s="98"/>
      <c r="AS50" s="98"/>
      <c r="AT50" s="98"/>
      <c r="AU50" s="159">
        <f t="shared" si="6"/>
        <v>0</v>
      </c>
      <c r="AV50" s="160"/>
      <c r="AW50" s="161"/>
      <c r="AX50" s="161"/>
      <c r="AY50" s="158">
        <f t="shared" si="7"/>
        <v>0</v>
      </c>
    </row>
    <row r="51" spans="1:51" ht="115.5" hidden="1" customHeight="1" thickBot="1" x14ac:dyDescent="0.3">
      <c r="A51" s="396" t="s">
        <v>212</v>
      </c>
      <c r="B51" s="397"/>
      <c r="C51" s="397"/>
      <c r="D51" s="397"/>
      <c r="E51" s="397"/>
      <c r="F51" s="397"/>
      <c r="G51" s="397"/>
      <c r="H51" s="398"/>
      <c r="I51" s="481" t="s">
        <v>207</v>
      </c>
      <c r="J51" s="482"/>
      <c r="K51" s="482"/>
      <c r="L51" s="482"/>
      <c r="M51" s="482"/>
      <c r="N51" s="482"/>
      <c r="O51" s="482"/>
      <c r="P51" s="483"/>
      <c r="T51" s="414"/>
      <c r="U51" s="415"/>
      <c r="V51" s="415"/>
      <c r="W51" s="416"/>
      <c r="X51" s="414"/>
      <c r="Y51" s="415"/>
      <c r="Z51" s="415"/>
      <c r="AA51" s="416"/>
      <c r="AC51" s="96">
        <v>38</v>
      </c>
      <c r="AD51" s="97">
        <v>43673</v>
      </c>
      <c r="AE51" s="98" t="s">
        <v>169</v>
      </c>
      <c r="AF51" s="98" t="s">
        <v>176</v>
      </c>
      <c r="AG51" s="116">
        <v>171</v>
      </c>
      <c r="AH51" s="105">
        <v>0.4</v>
      </c>
      <c r="AI51" s="98">
        <f>148*2</f>
        <v>296</v>
      </c>
      <c r="AJ51" s="98">
        <v>2</v>
      </c>
      <c r="AK51" s="98">
        <f t="shared" si="0"/>
        <v>236.8</v>
      </c>
      <c r="AL51" s="98">
        <f t="shared" si="1"/>
        <v>118.4</v>
      </c>
      <c r="AM51" s="101">
        <f t="shared" si="2"/>
        <v>118.4</v>
      </c>
      <c r="AQ51" s="96">
        <v>15</v>
      </c>
      <c r="AR51" s="98"/>
      <c r="AS51" s="98"/>
      <c r="AT51" s="98"/>
      <c r="AU51" s="159">
        <f t="shared" si="6"/>
        <v>0</v>
      </c>
      <c r="AV51" s="160"/>
      <c r="AW51" s="161"/>
      <c r="AX51" s="161"/>
      <c r="AY51" s="158">
        <f t="shared" si="7"/>
        <v>0</v>
      </c>
    </row>
    <row r="52" spans="1:51" ht="16.5" hidden="1" thickBot="1" x14ac:dyDescent="0.3">
      <c r="A52" s="535" t="s">
        <v>232</v>
      </c>
      <c r="B52" s="536"/>
      <c r="C52" s="536"/>
      <c r="D52" s="536"/>
      <c r="E52" s="536"/>
      <c r="F52" s="536"/>
      <c r="G52" s="536"/>
      <c r="H52" s="537"/>
      <c r="I52" s="448">
        <f>(P48-L48)/1000</f>
        <v>8.8003534599999984</v>
      </c>
      <c r="J52" s="449"/>
      <c r="K52" s="449"/>
      <c r="L52" s="449"/>
      <c r="M52" s="449"/>
      <c r="N52" s="449"/>
      <c r="O52" s="449"/>
      <c r="P52" s="471"/>
      <c r="T52" s="423" t="s">
        <v>171</v>
      </c>
      <c r="U52" s="424"/>
      <c r="V52" s="424"/>
      <c r="W52" s="425"/>
      <c r="X52" s="423" t="s">
        <v>172</v>
      </c>
      <c r="Y52" s="424"/>
      <c r="Z52" s="424"/>
      <c r="AA52" s="425"/>
      <c r="AC52" s="96">
        <v>39</v>
      </c>
      <c r="AD52" s="122">
        <v>43320</v>
      </c>
      <c r="AE52" s="98" t="s">
        <v>169</v>
      </c>
      <c r="AF52" s="98" t="s">
        <v>170</v>
      </c>
      <c r="AG52" s="116">
        <v>254</v>
      </c>
      <c r="AH52" s="105">
        <v>0.12</v>
      </c>
      <c r="AI52" s="98">
        <f>34*2</f>
        <v>68</v>
      </c>
      <c r="AJ52" s="98">
        <v>2</v>
      </c>
      <c r="AK52" s="98">
        <f t="shared" si="0"/>
        <v>16.32</v>
      </c>
      <c r="AL52" s="98">
        <f t="shared" si="1"/>
        <v>8.16</v>
      </c>
      <c r="AM52" s="101">
        <f t="shared" si="2"/>
        <v>8.16</v>
      </c>
      <c r="AQ52" s="96">
        <v>16</v>
      </c>
      <c r="AR52" s="98"/>
      <c r="AS52" s="98"/>
      <c r="AT52" s="98"/>
      <c r="AU52" s="159">
        <f t="shared" si="6"/>
        <v>0</v>
      </c>
      <c r="AV52" s="160"/>
      <c r="AW52" s="161"/>
      <c r="AX52" s="161"/>
      <c r="AY52" s="158">
        <f t="shared" si="7"/>
        <v>0</v>
      </c>
    </row>
    <row r="53" spans="1:51" ht="16.5" hidden="1" thickBot="1" x14ac:dyDescent="0.3">
      <c r="A53" s="538"/>
      <c r="B53" s="539"/>
      <c r="C53" s="539"/>
      <c r="D53" s="539"/>
      <c r="E53" s="539"/>
      <c r="F53" s="539"/>
      <c r="G53" s="539"/>
      <c r="H53" s="540"/>
      <c r="I53" s="477"/>
      <c r="J53" s="474"/>
      <c r="K53" s="474"/>
      <c r="L53" s="474"/>
      <c r="M53" s="474"/>
      <c r="N53" s="474"/>
      <c r="O53" s="474"/>
      <c r="P53" s="475"/>
      <c r="T53" s="408" t="s">
        <v>191</v>
      </c>
      <c r="U53" s="409"/>
      <c r="V53" s="409"/>
      <c r="W53" s="410"/>
      <c r="X53" s="440" t="s">
        <v>192</v>
      </c>
      <c r="Y53" s="441"/>
      <c r="Z53" s="441"/>
      <c r="AA53" s="442"/>
      <c r="AC53" s="96">
        <v>40</v>
      </c>
      <c r="AD53" s="97">
        <v>43321</v>
      </c>
      <c r="AE53" s="98" t="s">
        <v>169</v>
      </c>
      <c r="AF53" s="98" t="s">
        <v>170</v>
      </c>
      <c r="AG53" s="98">
        <v>190</v>
      </c>
      <c r="AH53" s="105">
        <v>0.43</v>
      </c>
      <c r="AI53" s="98">
        <f>34*2</f>
        <v>68</v>
      </c>
      <c r="AJ53" s="98">
        <v>2</v>
      </c>
      <c r="AK53" s="98">
        <f t="shared" si="0"/>
        <v>58.48</v>
      </c>
      <c r="AL53" s="98">
        <f t="shared" si="1"/>
        <v>29.24</v>
      </c>
      <c r="AM53" s="101">
        <f t="shared" si="2"/>
        <v>29.24</v>
      </c>
      <c r="AQ53" s="96">
        <v>17</v>
      </c>
      <c r="AR53" s="98"/>
      <c r="AS53" s="98"/>
      <c r="AT53" s="98"/>
      <c r="AU53" s="159">
        <f t="shared" si="6"/>
        <v>0</v>
      </c>
      <c r="AV53" s="160"/>
      <c r="AW53" s="161"/>
      <c r="AX53" s="161"/>
      <c r="AY53" s="158">
        <f t="shared" si="7"/>
        <v>0</v>
      </c>
    </row>
    <row r="54" spans="1:51" ht="30" hidden="1" customHeight="1" thickBot="1" x14ac:dyDescent="0.3">
      <c r="A54" s="396" t="s">
        <v>215</v>
      </c>
      <c r="B54" s="397"/>
      <c r="C54" s="397"/>
      <c r="D54" s="397"/>
      <c r="E54" s="397"/>
      <c r="F54" s="397"/>
      <c r="G54" s="397"/>
      <c r="H54" s="398"/>
      <c r="I54" s="396" t="s">
        <v>204</v>
      </c>
      <c r="J54" s="397"/>
      <c r="K54" s="397"/>
      <c r="L54" s="397"/>
      <c r="M54" s="397"/>
      <c r="N54" s="397"/>
      <c r="O54" s="397"/>
      <c r="P54" s="398"/>
      <c r="T54" s="411"/>
      <c r="U54" s="412"/>
      <c r="V54" s="412"/>
      <c r="W54" s="412"/>
      <c r="X54" s="117" t="s">
        <v>196</v>
      </c>
      <c r="Y54" s="111" t="s">
        <v>197</v>
      </c>
      <c r="Z54" s="117" t="s">
        <v>198</v>
      </c>
      <c r="AA54" s="111" t="s">
        <v>197</v>
      </c>
      <c r="AC54" s="96">
        <v>41</v>
      </c>
      <c r="AD54" s="97">
        <v>43321</v>
      </c>
      <c r="AE54" s="98" t="s">
        <v>169</v>
      </c>
      <c r="AF54" s="98" t="s">
        <v>170</v>
      </c>
      <c r="AG54" s="98">
        <v>156</v>
      </c>
      <c r="AH54" s="105">
        <v>0.35</v>
      </c>
      <c r="AI54" s="98">
        <f>34*2</f>
        <v>68</v>
      </c>
      <c r="AJ54" s="91">
        <v>2</v>
      </c>
      <c r="AK54" s="98">
        <f t="shared" si="0"/>
        <v>47.599999999999994</v>
      </c>
      <c r="AL54" s="98">
        <f t="shared" si="1"/>
        <v>23.799999999999997</v>
      </c>
      <c r="AM54" s="101">
        <f t="shared" si="2"/>
        <v>23.799999999999997</v>
      </c>
      <c r="AQ54" s="96">
        <v>18</v>
      </c>
      <c r="AR54" s="98"/>
      <c r="AS54" s="98"/>
      <c r="AT54" s="98"/>
      <c r="AU54" s="159">
        <f t="shared" si="6"/>
        <v>0</v>
      </c>
      <c r="AV54" s="160"/>
      <c r="AW54" s="161"/>
      <c r="AX54" s="161"/>
      <c r="AY54" s="158">
        <f t="shared" si="7"/>
        <v>0</v>
      </c>
    </row>
    <row r="55" spans="1:51" s="86" customFormat="1" ht="39.950000000000003" hidden="1" customHeight="1" thickBot="1" x14ac:dyDescent="0.25">
      <c r="A55" s="492" t="s">
        <v>216</v>
      </c>
      <c r="B55" s="493"/>
      <c r="C55" s="494"/>
      <c r="D55" s="492" t="s">
        <v>217</v>
      </c>
      <c r="E55" s="495"/>
      <c r="F55" s="487" t="s">
        <v>218</v>
      </c>
      <c r="G55" s="488"/>
      <c r="H55" s="489"/>
      <c r="I55" s="487" t="s">
        <v>233</v>
      </c>
      <c r="J55" s="500"/>
      <c r="K55" s="500"/>
      <c r="L55" s="501"/>
      <c r="M55" s="499" t="s">
        <v>234</v>
      </c>
      <c r="N55" s="500"/>
      <c r="O55" s="500"/>
      <c r="P55" s="501"/>
      <c r="T55" s="411"/>
      <c r="U55" s="412"/>
      <c r="V55" s="412"/>
      <c r="W55" s="412"/>
      <c r="X55" s="120">
        <f>AC131</f>
        <v>44</v>
      </c>
      <c r="Y55" s="104" t="s">
        <v>201</v>
      </c>
      <c r="Z55" s="120">
        <f>AM81</f>
        <v>3652.1200000000003</v>
      </c>
      <c r="AA55" s="121" t="s">
        <v>202</v>
      </c>
      <c r="AC55" s="96">
        <v>42</v>
      </c>
      <c r="AD55" s="97">
        <v>43326</v>
      </c>
      <c r="AE55" s="98" t="s">
        <v>169</v>
      </c>
      <c r="AF55" s="98" t="s">
        <v>170</v>
      </c>
      <c r="AG55" s="98">
        <v>179</v>
      </c>
      <c r="AH55" s="170">
        <v>0.21</v>
      </c>
      <c r="AI55" s="91">
        <f>34*2</f>
        <v>68</v>
      </c>
      <c r="AJ55" s="91">
        <v>2</v>
      </c>
      <c r="AK55" s="98">
        <f t="shared" si="0"/>
        <v>28.56</v>
      </c>
      <c r="AL55" s="98">
        <f t="shared" si="1"/>
        <v>14.28</v>
      </c>
      <c r="AM55" s="101">
        <f t="shared" si="2"/>
        <v>14.28</v>
      </c>
      <c r="AQ55" s="96">
        <v>19</v>
      </c>
      <c r="AR55" s="98"/>
      <c r="AS55" s="98"/>
      <c r="AT55" s="98"/>
      <c r="AU55" s="159">
        <f t="shared" si="6"/>
        <v>0</v>
      </c>
      <c r="AV55" s="171"/>
      <c r="AW55" s="172"/>
      <c r="AX55" s="172"/>
      <c r="AY55" s="158">
        <f t="shared" si="7"/>
        <v>0</v>
      </c>
    </row>
    <row r="56" spans="1:51" ht="19.5" hidden="1" customHeight="1" thickBot="1" x14ac:dyDescent="0.3">
      <c r="A56" s="88" t="s">
        <v>220</v>
      </c>
      <c r="B56" s="89" t="s">
        <v>221</v>
      </c>
      <c r="C56" s="90" t="s">
        <v>0</v>
      </c>
      <c r="D56" s="408">
        <v>244.04</v>
      </c>
      <c r="E56" s="410"/>
      <c r="F56" s="136" t="s">
        <v>220</v>
      </c>
      <c r="G56" s="137" t="s">
        <v>221</v>
      </c>
      <c r="H56" s="138" t="s">
        <v>0</v>
      </c>
      <c r="I56" s="448" t="s">
        <v>210</v>
      </c>
      <c r="J56" s="449"/>
      <c r="K56" s="449" t="s">
        <v>197</v>
      </c>
      <c r="L56" s="471"/>
      <c r="M56" s="448">
        <f>(I52/I57)*100</f>
        <v>2.3209519371258267</v>
      </c>
      <c r="N56" s="449"/>
      <c r="O56" s="449"/>
      <c r="P56" s="471"/>
      <c r="T56" s="411"/>
      <c r="U56" s="412"/>
      <c r="V56" s="412"/>
      <c r="W56" s="413"/>
      <c r="X56" s="440" t="s">
        <v>207</v>
      </c>
      <c r="Y56" s="441"/>
      <c r="Z56" s="441"/>
      <c r="AA56" s="442"/>
      <c r="AC56" s="96">
        <v>43</v>
      </c>
      <c r="AD56" s="173">
        <v>43329</v>
      </c>
      <c r="AE56" s="91" t="s">
        <v>169</v>
      </c>
      <c r="AF56" s="91" t="s">
        <v>176</v>
      </c>
      <c r="AG56" s="91">
        <v>156</v>
      </c>
      <c r="AH56" s="105">
        <v>0.35</v>
      </c>
      <c r="AI56" s="98">
        <f>148*2</f>
        <v>296</v>
      </c>
      <c r="AJ56" s="116">
        <v>2</v>
      </c>
      <c r="AK56" s="98">
        <f t="shared" si="0"/>
        <v>207.2</v>
      </c>
      <c r="AL56" s="98">
        <f t="shared" si="1"/>
        <v>103.6</v>
      </c>
      <c r="AM56" s="101">
        <f t="shared" si="2"/>
        <v>103.6</v>
      </c>
      <c r="AQ56" s="96">
        <v>20</v>
      </c>
      <c r="AR56" s="98"/>
      <c r="AS56" s="98"/>
      <c r="AT56" s="98"/>
      <c r="AU56" s="159">
        <f t="shared" si="6"/>
        <v>0</v>
      </c>
      <c r="AV56" s="160"/>
      <c r="AW56" s="161"/>
      <c r="AX56" s="161"/>
      <c r="AY56" s="158">
        <f t="shared" si="7"/>
        <v>0</v>
      </c>
    </row>
    <row r="57" spans="1:51" ht="19.5" hidden="1" customHeight="1" thickBot="1" x14ac:dyDescent="0.3">
      <c r="A57" s="102">
        <v>8061</v>
      </c>
      <c r="B57" s="103">
        <v>1776</v>
      </c>
      <c r="C57" s="104">
        <f>A57+B57</f>
        <v>9837</v>
      </c>
      <c r="D57" s="414"/>
      <c r="E57" s="416"/>
      <c r="F57" s="123">
        <f>$D$56/A57</f>
        <v>3.0274159533556631E-2</v>
      </c>
      <c r="G57" s="124">
        <f>D56/B57</f>
        <v>0.13740990990990989</v>
      </c>
      <c r="H57" s="129">
        <f>D56/C57</f>
        <v>2.4808376537562266E-2</v>
      </c>
      <c r="I57" s="477">
        <v>379.17</v>
      </c>
      <c r="J57" s="474"/>
      <c r="K57" s="474" t="s">
        <v>211</v>
      </c>
      <c r="L57" s="475"/>
      <c r="M57" s="477"/>
      <c r="N57" s="474"/>
      <c r="O57" s="474"/>
      <c r="P57" s="475"/>
      <c r="T57" s="411"/>
      <c r="U57" s="412"/>
      <c r="V57" s="412"/>
      <c r="W57" s="413"/>
      <c r="X57" s="465">
        <f>Z55/1000</f>
        <v>3.6521200000000005</v>
      </c>
      <c r="Y57" s="466"/>
      <c r="Z57" s="466"/>
      <c r="AA57" s="467"/>
      <c r="AC57" s="96">
        <v>44</v>
      </c>
      <c r="AD57" s="174">
        <v>43333</v>
      </c>
      <c r="AE57" s="175" t="s">
        <v>169</v>
      </c>
      <c r="AF57" s="98" t="s">
        <v>170</v>
      </c>
      <c r="AG57" s="175">
        <v>156</v>
      </c>
      <c r="AH57" s="105">
        <v>0.35</v>
      </c>
      <c r="AI57" s="98">
        <f>34*2</f>
        <v>68</v>
      </c>
      <c r="AJ57" s="116">
        <v>4</v>
      </c>
      <c r="AK57" s="98">
        <f t="shared" si="0"/>
        <v>95.199999999999989</v>
      </c>
      <c r="AL57" s="98">
        <f t="shared" si="1"/>
        <v>23.799999999999997</v>
      </c>
      <c r="AM57" s="101">
        <f t="shared" si="2"/>
        <v>71.399999999999991</v>
      </c>
      <c r="AN57" s="87"/>
      <c r="AQ57" s="96">
        <v>21</v>
      </c>
      <c r="AR57" s="98"/>
      <c r="AS57" s="98"/>
      <c r="AT57" s="98"/>
      <c r="AU57" s="159">
        <f t="shared" si="6"/>
        <v>0</v>
      </c>
      <c r="AV57" s="160"/>
      <c r="AW57" s="161"/>
      <c r="AX57" s="161"/>
      <c r="AY57" s="158">
        <f t="shared" si="7"/>
        <v>0</v>
      </c>
    </row>
    <row r="58" spans="1:51" ht="16.5" hidden="1" thickBot="1" x14ac:dyDescent="0.3">
      <c r="T58" s="411"/>
      <c r="U58" s="412"/>
      <c r="V58" s="412"/>
      <c r="W58" s="413"/>
      <c r="X58" s="468"/>
      <c r="Y58" s="469"/>
      <c r="Z58" s="469"/>
      <c r="AA58" s="470"/>
      <c r="AC58" s="96">
        <v>45</v>
      </c>
      <c r="AD58" s="122">
        <v>43335</v>
      </c>
      <c r="AE58" s="116" t="s">
        <v>169</v>
      </c>
      <c r="AF58" s="98" t="s">
        <v>170</v>
      </c>
      <c r="AG58" s="116">
        <v>212</v>
      </c>
      <c r="AH58" s="163">
        <v>0.33</v>
      </c>
      <c r="AI58" s="116">
        <f>34*2</f>
        <v>68</v>
      </c>
      <c r="AJ58" s="116">
        <v>2</v>
      </c>
      <c r="AK58" s="98">
        <f t="shared" si="0"/>
        <v>44.88</v>
      </c>
      <c r="AL58" s="98">
        <f t="shared" si="1"/>
        <v>22.44</v>
      </c>
      <c r="AM58" s="101">
        <f t="shared" si="2"/>
        <v>22.44</v>
      </c>
      <c r="AN58" s="87"/>
      <c r="AQ58" s="96">
        <v>22</v>
      </c>
      <c r="AR58" s="98"/>
      <c r="AS58" s="98"/>
      <c r="AT58" s="98"/>
      <c r="AU58" s="159">
        <f t="shared" si="6"/>
        <v>0</v>
      </c>
      <c r="AV58" s="160"/>
      <c r="AW58" s="161"/>
      <c r="AX58" s="161"/>
      <c r="AY58" s="158">
        <f t="shared" si="7"/>
        <v>0</v>
      </c>
    </row>
    <row r="59" spans="1:51" ht="16.5" hidden="1" thickBot="1" x14ac:dyDescent="0.3">
      <c r="T59" s="411"/>
      <c r="U59" s="412"/>
      <c r="V59" s="412"/>
      <c r="W59" s="413"/>
      <c r="X59" s="478" t="s">
        <v>204</v>
      </c>
      <c r="Y59" s="479"/>
      <c r="Z59" s="479"/>
      <c r="AA59" s="480"/>
      <c r="AC59" s="96">
        <v>46</v>
      </c>
      <c r="AD59" s="122">
        <v>43342</v>
      </c>
      <c r="AE59" s="116" t="s">
        <v>169</v>
      </c>
      <c r="AF59" s="98" t="s">
        <v>170</v>
      </c>
      <c r="AG59" s="116">
        <v>261</v>
      </c>
      <c r="AH59" s="163">
        <v>0.13</v>
      </c>
      <c r="AI59" s="116">
        <f>34*2</f>
        <v>68</v>
      </c>
      <c r="AJ59" s="116">
        <v>2</v>
      </c>
      <c r="AK59" s="98">
        <f t="shared" si="0"/>
        <v>17.68</v>
      </c>
      <c r="AL59" s="98">
        <f t="shared" si="1"/>
        <v>8.84</v>
      </c>
      <c r="AM59" s="101">
        <f t="shared" si="2"/>
        <v>8.84</v>
      </c>
      <c r="AN59" s="87"/>
      <c r="AQ59" s="96">
        <v>23</v>
      </c>
      <c r="AR59" s="98"/>
      <c r="AS59" s="98"/>
      <c r="AT59" s="98"/>
      <c r="AU59" s="159">
        <f t="shared" si="6"/>
        <v>0</v>
      </c>
      <c r="AV59" s="160"/>
      <c r="AW59" s="161"/>
      <c r="AX59" s="161"/>
      <c r="AY59" s="158">
        <f t="shared" si="7"/>
        <v>0</v>
      </c>
    </row>
    <row r="60" spans="1:51" ht="16.5" hidden="1" thickBot="1" x14ac:dyDescent="0.3">
      <c r="A60" s="390">
        <v>2019</v>
      </c>
      <c r="B60" s="391"/>
      <c r="C60" s="391"/>
      <c r="D60" s="391"/>
      <c r="E60" s="391"/>
      <c r="F60" s="391"/>
      <c r="G60" s="391"/>
      <c r="H60" s="391"/>
      <c r="I60" s="391"/>
      <c r="J60" s="391"/>
      <c r="K60" s="391"/>
      <c r="L60" s="391"/>
      <c r="M60" s="391"/>
      <c r="N60" s="391"/>
      <c r="O60" s="391"/>
      <c r="P60" s="392"/>
      <c r="T60" s="411"/>
      <c r="U60" s="412"/>
      <c r="V60" s="412"/>
      <c r="W60" s="412"/>
      <c r="X60" s="484" t="s">
        <v>235</v>
      </c>
      <c r="Y60" s="485"/>
      <c r="Z60" s="486" t="s">
        <v>208</v>
      </c>
      <c r="AA60" s="471"/>
      <c r="AC60" s="96">
        <v>47</v>
      </c>
      <c r="AD60" s="122">
        <v>43343</v>
      </c>
      <c r="AE60" s="116" t="s">
        <v>169</v>
      </c>
      <c r="AF60" s="116" t="s">
        <v>176</v>
      </c>
      <c r="AG60" s="116">
        <v>171</v>
      </c>
      <c r="AH60" s="105">
        <v>0.4</v>
      </c>
      <c r="AI60" s="98">
        <f>148*2</f>
        <v>296</v>
      </c>
      <c r="AJ60" s="116">
        <v>2</v>
      </c>
      <c r="AK60" s="98">
        <f t="shared" si="0"/>
        <v>236.8</v>
      </c>
      <c r="AL60" s="98">
        <f t="shared" si="1"/>
        <v>118.4</v>
      </c>
      <c r="AM60" s="101">
        <f t="shared" si="2"/>
        <v>118.4</v>
      </c>
      <c r="AN60" s="87"/>
      <c r="AQ60" s="96">
        <v>24</v>
      </c>
      <c r="AR60" s="98"/>
      <c r="AS60" s="98"/>
      <c r="AT60" s="98"/>
      <c r="AU60" s="159">
        <f t="shared" si="6"/>
        <v>0</v>
      </c>
      <c r="AV60" s="160"/>
      <c r="AW60" s="161"/>
      <c r="AX60" s="161"/>
      <c r="AY60" s="158">
        <f t="shared" si="7"/>
        <v>0</v>
      </c>
    </row>
    <row r="61" spans="1:51" ht="16.5" hidden="1" thickBot="1" x14ac:dyDescent="0.3">
      <c r="A61" s="396" t="s">
        <v>151</v>
      </c>
      <c r="B61" s="397"/>
      <c r="C61" s="397"/>
      <c r="D61" s="397"/>
      <c r="E61" s="397"/>
      <c r="F61" s="397"/>
      <c r="G61" s="397"/>
      <c r="H61" s="398"/>
      <c r="I61" s="396" t="s">
        <v>152</v>
      </c>
      <c r="J61" s="397"/>
      <c r="K61" s="397"/>
      <c r="L61" s="397"/>
      <c r="M61" s="397"/>
      <c r="N61" s="397"/>
      <c r="O61" s="397"/>
      <c r="P61" s="398"/>
      <c r="T61" s="411"/>
      <c r="U61" s="412"/>
      <c r="V61" s="412"/>
      <c r="W61" s="412"/>
      <c r="X61" s="118" t="s">
        <v>210</v>
      </c>
      <c r="Y61" s="127" t="s">
        <v>197</v>
      </c>
      <c r="Z61" s="511" t="e">
        <f>(X57/X62)*100</f>
        <v>#DIV/0!</v>
      </c>
      <c r="AA61" s="473"/>
      <c r="AC61" s="96">
        <v>48</v>
      </c>
      <c r="AD61" s="122">
        <v>43350</v>
      </c>
      <c r="AE61" s="116" t="s">
        <v>169</v>
      </c>
      <c r="AF61" s="116" t="s">
        <v>236</v>
      </c>
      <c r="AG61" s="116">
        <v>258</v>
      </c>
      <c r="AH61" s="105">
        <v>0.11</v>
      </c>
      <c r="AI61" s="116">
        <f>21*2</f>
        <v>42</v>
      </c>
      <c r="AJ61" s="116">
        <v>2</v>
      </c>
      <c r="AK61" s="98">
        <f t="shared" si="0"/>
        <v>9.24</v>
      </c>
      <c r="AL61" s="98">
        <f t="shared" si="1"/>
        <v>4.62</v>
      </c>
      <c r="AM61" s="101">
        <f t="shared" si="2"/>
        <v>4.62</v>
      </c>
      <c r="AN61" s="87"/>
      <c r="AQ61" s="96">
        <v>25</v>
      </c>
      <c r="AR61" s="98"/>
      <c r="AS61" s="98"/>
      <c r="AT61" s="98"/>
      <c r="AU61" s="159">
        <f t="shared" si="6"/>
        <v>0</v>
      </c>
      <c r="AV61" s="160"/>
      <c r="AW61" s="161"/>
      <c r="AX61" s="161"/>
      <c r="AY61" s="158">
        <f t="shared" si="7"/>
        <v>0</v>
      </c>
    </row>
    <row r="62" spans="1:51" ht="19.5" hidden="1" thickBot="1" x14ac:dyDescent="0.3">
      <c r="A62" s="399" t="s">
        <v>228</v>
      </c>
      <c r="B62" s="400"/>
      <c r="C62" s="400"/>
      <c r="D62" s="400"/>
      <c r="E62" s="400"/>
      <c r="F62" s="400"/>
      <c r="G62" s="400"/>
      <c r="H62" s="401"/>
      <c r="I62" s="399" t="s">
        <v>229</v>
      </c>
      <c r="J62" s="400"/>
      <c r="K62" s="400"/>
      <c r="L62" s="400"/>
      <c r="M62" s="400"/>
      <c r="N62" s="400"/>
      <c r="O62" s="400"/>
      <c r="P62" s="401"/>
      <c r="T62" s="414"/>
      <c r="U62" s="415"/>
      <c r="V62" s="415"/>
      <c r="W62" s="415"/>
      <c r="X62" s="123"/>
      <c r="Y62" s="129" t="s">
        <v>211</v>
      </c>
      <c r="Z62" s="512"/>
      <c r="AA62" s="475"/>
      <c r="AC62" s="96">
        <v>49</v>
      </c>
      <c r="AD62" s="122">
        <v>43377</v>
      </c>
      <c r="AE62" s="116" t="s">
        <v>169</v>
      </c>
      <c r="AF62" s="116" t="s">
        <v>214</v>
      </c>
      <c r="AG62" s="116">
        <v>181</v>
      </c>
      <c r="AH62" s="105">
        <v>0.28999999999999998</v>
      </c>
      <c r="AI62" s="116">
        <f>147*2</f>
        <v>294</v>
      </c>
      <c r="AJ62" s="116">
        <v>2</v>
      </c>
      <c r="AK62" s="98">
        <f t="shared" si="0"/>
        <v>170.51999999999998</v>
      </c>
      <c r="AL62" s="98">
        <f t="shared" si="1"/>
        <v>85.259999999999991</v>
      </c>
      <c r="AM62" s="101">
        <f t="shared" si="2"/>
        <v>85.259999999999991</v>
      </c>
      <c r="AN62" s="87"/>
      <c r="AQ62" s="96">
        <v>26</v>
      </c>
      <c r="AR62" s="98"/>
      <c r="AS62" s="98"/>
      <c r="AT62" s="98"/>
      <c r="AU62" s="159">
        <f t="shared" si="6"/>
        <v>0</v>
      </c>
      <c r="AV62" s="160"/>
      <c r="AW62" s="161"/>
      <c r="AX62" s="161"/>
      <c r="AY62" s="158">
        <f t="shared" si="7"/>
        <v>0</v>
      </c>
    </row>
    <row r="63" spans="1:51" ht="16.5" hidden="1" thickBot="1" x14ac:dyDescent="0.3">
      <c r="A63" s="402"/>
      <c r="B63" s="403"/>
      <c r="C63" s="403"/>
      <c r="D63" s="403"/>
      <c r="E63" s="403"/>
      <c r="F63" s="403"/>
      <c r="G63" s="403"/>
      <c r="H63" s="404"/>
      <c r="I63" s="402"/>
      <c r="J63" s="403"/>
      <c r="K63" s="403"/>
      <c r="L63" s="403"/>
      <c r="M63" s="403"/>
      <c r="N63" s="403"/>
      <c r="O63" s="403"/>
      <c r="P63" s="404"/>
      <c r="T63" s="423" t="s">
        <v>215</v>
      </c>
      <c r="U63" s="424"/>
      <c r="V63" s="424"/>
      <c r="W63" s="424"/>
      <c r="X63" s="490"/>
      <c r="Y63" s="490"/>
      <c r="Z63" s="490"/>
      <c r="AA63" s="491"/>
      <c r="AC63" s="96">
        <v>50</v>
      </c>
      <c r="AD63" s="122">
        <v>43377</v>
      </c>
      <c r="AE63" s="116" t="s">
        <v>169</v>
      </c>
      <c r="AF63" s="116" t="s">
        <v>176</v>
      </c>
      <c r="AG63" s="116">
        <v>211</v>
      </c>
      <c r="AH63" s="105">
        <v>0.3</v>
      </c>
      <c r="AI63" s="116">
        <f>148*2</f>
        <v>296</v>
      </c>
      <c r="AJ63" s="116">
        <v>2</v>
      </c>
      <c r="AK63" s="98">
        <f t="shared" si="0"/>
        <v>177.6</v>
      </c>
      <c r="AL63" s="98">
        <f t="shared" si="1"/>
        <v>88.8</v>
      </c>
      <c r="AM63" s="101">
        <f t="shared" si="2"/>
        <v>88.8</v>
      </c>
      <c r="AN63" s="87"/>
      <c r="AQ63" s="96">
        <v>27</v>
      </c>
      <c r="AR63" s="98"/>
      <c r="AS63" s="98"/>
      <c r="AT63" s="98"/>
      <c r="AU63" s="159">
        <f t="shared" si="6"/>
        <v>0</v>
      </c>
      <c r="AV63" s="160"/>
      <c r="AW63" s="161"/>
      <c r="AX63" s="161"/>
      <c r="AY63" s="158">
        <f t="shared" si="7"/>
        <v>0</v>
      </c>
    </row>
    <row r="64" spans="1:51" ht="16.5" hidden="1" thickBot="1" x14ac:dyDescent="0.3">
      <c r="A64" s="402"/>
      <c r="B64" s="403"/>
      <c r="C64" s="403"/>
      <c r="D64" s="403"/>
      <c r="E64" s="403"/>
      <c r="F64" s="403"/>
      <c r="G64" s="403"/>
      <c r="H64" s="404"/>
      <c r="I64" s="402"/>
      <c r="J64" s="403"/>
      <c r="K64" s="403"/>
      <c r="L64" s="403"/>
      <c r="M64" s="403"/>
      <c r="N64" s="403"/>
      <c r="O64" s="403"/>
      <c r="P64" s="404"/>
      <c r="T64" s="502" t="s">
        <v>216</v>
      </c>
      <c r="U64" s="503"/>
      <c r="V64" s="504"/>
      <c r="W64" s="522" t="s">
        <v>217</v>
      </c>
      <c r="X64" s="522"/>
      <c r="Y64" s="523" t="s">
        <v>218</v>
      </c>
      <c r="Z64" s="524"/>
      <c r="AA64" s="525"/>
      <c r="AC64" s="96">
        <v>51</v>
      </c>
      <c r="AD64" s="122">
        <v>43378</v>
      </c>
      <c r="AE64" s="116" t="s">
        <v>169</v>
      </c>
      <c r="AF64" s="116" t="s">
        <v>170</v>
      </c>
      <c r="AG64" s="116">
        <v>201</v>
      </c>
      <c r="AH64" s="163">
        <v>0.27</v>
      </c>
      <c r="AI64" s="116">
        <f>34*2</f>
        <v>68</v>
      </c>
      <c r="AJ64" s="116">
        <v>2</v>
      </c>
      <c r="AK64" s="98">
        <f t="shared" si="0"/>
        <v>36.72</v>
      </c>
      <c r="AL64" s="98">
        <f t="shared" si="1"/>
        <v>18.36</v>
      </c>
      <c r="AM64" s="101">
        <f t="shared" si="2"/>
        <v>18.36</v>
      </c>
      <c r="AN64" s="87"/>
      <c r="AQ64" s="96">
        <v>28</v>
      </c>
      <c r="AR64" s="98"/>
      <c r="AS64" s="98"/>
      <c r="AT64" s="98"/>
      <c r="AU64" s="159">
        <f t="shared" si="6"/>
        <v>0</v>
      </c>
      <c r="AV64" s="160"/>
      <c r="AW64" s="161"/>
      <c r="AX64" s="161"/>
      <c r="AY64" s="158">
        <f t="shared" si="7"/>
        <v>0</v>
      </c>
    </row>
    <row r="65" spans="1:51" ht="16.5" hidden="1" thickBot="1" x14ac:dyDescent="0.3">
      <c r="A65" s="405"/>
      <c r="B65" s="406"/>
      <c r="C65" s="406"/>
      <c r="D65" s="406"/>
      <c r="E65" s="406"/>
      <c r="F65" s="406"/>
      <c r="G65" s="406"/>
      <c r="H65" s="407"/>
      <c r="I65" s="405"/>
      <c r="J65" s="406"/>
      <c r="K65" s="406"/>
      <c r="L65" s="406"/>
      <c r="M65" s="406"/>
      <c r="N65" s="406"/>
      <c r="O65" s="406"/>
      <c r="P65" s="407"/>
      <c r="T65" s="88" t="s">
        <v>220</v>
      </c>
      <c r="U65" s="89" t="s">
        <v>221</v>
      </c>
      <c r="V65" s="141" t="s">
        <v>0</v>
      </c>
      <c r="W65" s="399"/>
      <c r="X65" s="401"/>
      <c r="Y65" s="142" t="s">
        <v>220</v>
      </c>
      <c r="Z65" s="89" t="s">
        <v>221</v>
      </c>
      <c r="AA65" s="90" t="s">
        <v>0</v>
      </c>
      <c r="AC65" s="96">
        <v>52</v>
      </c>
      <c r="AD65" s="122">
        <v>43378</v>
      </c>
      <c r="AE65" s="116" t="s">
        <v>169</v>
      </c>
      <c r="AF65" s="116" t="s">
        <v>176</v>
      </c>
      <c r="AG65" s="116">
        <v>211</v>
      </c>
      <c r="AH65" s="105">
        <v>0.3</v>
      </c>
      <c r="AI65" s="116">
        <f>148*2</f>
        <v>296</v>
      </c>
      <c r="AJ65" s="116">
        <v>2</v>
      </c>
      <c r="AK65" s="98">
        <f t="shared" si="0"/>
        <v>177.6</v>
      </c>
      <c r="AL65" s="98">
        <f t="shared" si="1"/>
        <v>88.8</v>
      </c>
      <c r="AM65" s="101">
        <f t="shared" si="2"/>
        <v>88.8</v>
      </c>
      <c r="AN65" s="87"/>
      <c r="AQ65" s="96">
        <v>29</v>
      </c>
      <c r="AR65" s="98"/>
      <c r="AS65" s="98"/>
      <c r="AT65" s="98"/>
      <c r="AU65" s="159">
        <f t="shared" si="6"/>
        <v>0</v>
      </c>
      <c r="AV65" s="160"/>
      <c r="AW65" s="161"/>
      <c r="AX65" s="161"/>
      <c r="AY65" s="158">
        <f t="shared" si="7"/>
        <v>0</v>
      </c>
    </row>
    <row r="66" spans="1:51" ht="16.5" hidden="1" customHeight="1" thickBot="1" x14ac:dyDescent="0.3">
      <c r="A66" s="396" t="s">
        <v>171</v>
      </c>
      <c r="B66" s="397"/>
      <c r="C66" s="397"/>
      <c r="D66" s="397"/>
      <c r="E66" s="397"/>
      <c r="F66" s="397"/>
      <c r="G66" s="397"/>
      <c r="H66" s="398"/>
      <c r="I66" s="396" t="s">
        <v>172</v>
      </c>
      <c r="J66" s="397"/>
      <c r="K66" s="397"/>
      <c r="L66" s="397"/>
      <c r="M66" s="397"/>
      <c r="N66" s="397"/>
      <c r="O66" s="397"/>
      <c r="P66" s="398"/>
      <c r="T66" s="102"/>
      <c r="U66" s="103"/>
      <c r="V66" s="140">
        <f>T66+U66</f>
        <v>0</v>
      </c>
      <c r="W66" s="405"/>
      <c r="X66" s="407"/>
      <c r="Y66" s="133" t="e">
        <f>$D$31/T66</f>
        <v>#DIV/0!</v>
      </c>
      <c r="Z66" s="133" t="e">
        <f t="shared" ref="Z66:AA66" si="11">$D$31/U66</f>
        <v>#DIV/0!</v>
      </c>
      <c r="AA66" s="133" t="e">
        <f t="shared" si="11"/>
        <v>#DIV/0!</v>
      </c>
      <c r="AC66" s="96">
        <v>53</v>
      </c>
      <c r="AD66" s="122">
        <v>43382</v>
      </c>
      <c r="AE66" s="116" t="s">
        <v>169</v>
      </c>
      <c r="AF66" s="116" t="s">
        <v>170</v>
      </c>
      <c r="AG66" s="116">
        <v>246</v>
      </c>
      <c r="AH66" s="105">
        <v>0.28999999999999998</v>
      </c>
      <c r="AI66" s="98">
        <f>34*2</f>
        <v>68</v>
      </c>
      <c r="AJ66" s="116">
        <v>2</v>
      </c>
      <c r="AK66" s="98">
        <f t="shared" si="0"/>
        <v>39.44</v>
      </c>
      <c r="AL66" s="98">
        <f t="shared" si="1"/>
        <v>19.72</v>
      </c>
      <c r="AM66" s="101">
        <f t="shared" si="2"/>
        <v>19.72</v>
      </c>
      <c r="AN66" s="87"/>
      <c r="AQ66" s="120">
        <v>30</v>
      </c>
      <c r="AR66" s="169"/>
      <c r="AS66" s="169"/>
      <c r="AT66" s="169"/>
      <c r="AU66" s="176">
        <f t="shared" si="6"/>
        <v>0</v>
      </c>
      <c r="AV66" s="177"/>
      <c r="AW66" s="178"/>
      <c r="AX66" s="178"/>
      <c r="AY66" s="128">
        <f t="shared" si="7"/>
        <v>0</v>
      </c>
    </row>
    <row r="67" spans="1:51" ht="72" hidden="1" customHeight="1" thickBot="1" x14ac:dyDescent="0.3">
      <c r="A67" s="411" t="s">
        <v>173</v>
      </c>
      <c r="B67" s="412"/>
      <c r="C67" s="412"/>
      <c r="D67" s="412"/>
      <c r="E67" s="412"/>
      <c r="F67" s="412"/>
      <c r="G67" s="412"/>
      <c r="H67" s="412"/>
      <c r="I67" s="396" t="s">
        <v>174</v>
      </c>
      <c r="J67" s="397"/>
      <c r="K67" s="397"/>
      <c r="L67" s="398"/>
      <c r="M67" s="396" t="s">
        <v>175</v>
      </c>
      <c r="N67" s="397"/>
      <c r="O67" s="397"/>
      <c r="P67" s="398"/>
      <c r="T67" s="423" t="s">
        <v>182</v>
      </c>
      <c r="U67" s="424"/>
      <c r="V67" s="424"/>
      <c r="W67" s="424"/>
      <c r="X67" s="490"/>
      <c r="Y67" s="490"/>
      <c r="Z67" s="490"/>
      <c r="AA67" s="491"/>
      <c r="AC67" s="96">
        <v>54</v>
      </c>
      <c r="AD67" s="122">
        <v>43383</v>
      </c>
      <c r="AE67" s="116" t="s">
        <v>169</v>
      </c>
      <c r="AF67" s="116" t="s">
        <v>214</v>
      </c>
      <c r="AG67" s="116">
        <v>245</v>
      </c>
      <c r="AH67" s="105">
        <v>0.28000000000000003</v>
      </c>
      <c r="AI67" s="116">
        <f>147*2</f>
        <v>294</v>
      </c>
      <c r="AJ67" s="116">
        <v>2</v>
      </c>
      <c r="AK67" s="98">
        <f t="shared" si="0"/>
        <v>164.64000000000001</v>
      </c>
      <c r="AL67" s="98">
        <f t="shared" si="1"/>
        <v>82.320000000000007</v>
      </c>
      <c r="AM67" s="101">
        <f t="shared" si="2"/>
        <v>82.320000000000007</v>
      </c>
    </row>
    <row r="68" spans="1:51" ht="35.25" hidden="1" thickBot="1" x14ac:dyDescent="0.3">
      <c r="A68" s="396" t="s">
        <v>182</v>
      </c>
      <c r="B68" s="397"/>
      <c r="C68" s="397"/>
      <c r="D68" s="397"/>
      <c r="E68" s="397"/>
      <c r="F68" s="397"/>
      <c r="G68" s="397"/>
      <c r="H68" s="398"/>
      <c r="I68" s="179" t="s">
        <v>162</v>
      </c>
      <c r="J68" s="179" t="s">
        <v>183</v>
      </c>
      <c r="K68" s="179" t="s">
        <v>184</v>
      </c>
      <c r="L68" s="179" t="s">
        <v>237</v>
      </c>
      <c r="M68" s="179" t="s">
        <v>162</v>
      </c>
      <c r="N68" s="179" t="s">
        <v>183</v>
      </c>
      <c r="O68" s="179" t="s">
        <v>184</v>
      </c>
      <c r="P68" s="179" t="s">
        <v>185</v>
      </c>
      <c r="T68" s="408"/>
      <c r="U68" s="409"/>
      <c r="V68" s="409"/>
      <c r="W68" s="409"/>
      <c r="X68" s="409"/>
      <c r="Y68" s="409"/>
      <c r="Z68" s="409"/>
      <c r="AA68" s="410"/>
      <c r="AC68" s="96">
        <v>55</v>
      </c>
      <c r="AD68" s="97">
        <v>43383</v>
      </c>
      <c r="AE68" s="98" t="s">
        <v>169</v>
      </c>
      <c r="AF68" s="98" t="s">
        <v>238</v>
      </c>
      <c r="AG68" s="98">
        <v>171</v>
      </c>
      <c r="AH68" s="105">
        <v>0.4</v>
      </c>
      <c r="AI68" s="98">
        <f>42*2</f>
        <v>84</v>
      </c>
      <c r="AJ68" s="98">
        <v>2</v>
      </c>
      <c r="AK68" s="98">
        <f t="shared" si="0"/>
        <v>67.2</v>
      </c>
      <c r="AL68" s="98">
        <f t="shared" si="1"/>
        <v>33.6</v>
      </c>
      <c r="AM68" s="101">
        <f t="shared" si="2"/>
        <v>33.6</v>
      </c>
    </row>
    <row r="69" spans="1:51" hidden="1" x14ac:dyDescent="0.25">
      <c r="A69" s="408"/>
      <c r="B69" s="409"/>
      <c r="C69" s="409"/>
      <c r="D69" s="409"/>
      <c r="E69" s="409"/>
      <c r="F69" s="409"/>
      <c r="G69" s="409"/>
      <c r="H69" s="409"/>
      <c r="I69" s="109" t="s">
        <v>189</v>
      </c>
      <c r="J69" s="110">
        <v>7892</v>
      </c>
      <c r="K69" s="536">
        <v>101.28</v>
      </c>
      <c r="L69" s="130">
        <f>($K$69/1000)*J69</f>
        <v>799.30175999999994</v>
      </c>
      <c r="M69" s="112" t="s">
        <v>190</v>
      </c>
      <c r="N69" s="157">
        <f>J69</f>
        <v>7892</v>
      </c>
      <c r="O69" s="110">
        <v>229.91</v>
      </c>
      <c r="P69" s="130">
        <f>(O69/1000)*N69</f>
        <v>1814.4497200000001</v>
      </c>
      <c r="T69" s="411"/>
      <c r="U69" s="412"/>
      <c r="V69" s="412"/>
      <c r="W69" s="412"/>
      <c r="X69" s="412"/>
      <c r="Y69" s="412"/>
      <c r="Z69" s="412"/>
      <c r="AA69" s="413"/>
      <c r="AC69" s="96">
        <v>56</v>
      </c>
      <c r="AD69" s="122">
        <v>43384</v>
      </c>
      <c r="AE69" s="116" t="s">
        <v>169</v>
      </c>
      <c r="AF69" s="116" t="s">
        <v>170</v>
      </c>
      <c r="AG69" s="116">
        <v>155</v>
      </c>
      <c r="AH69" s="105">
        <v>0.34</v>
      </c>
      <c r="AI69" s="98">
        <f t="shared" ref="AI69:AI70" si="12">34*2</f>
        <v>68</v>
      </c>
      <c r="AJ69" s="116">
        <v>2</v>
      </c>
      <c r="AK69" s="98">
        <f t="shared" si="0"/>
        <v>46.24</v>
      </c>
      <c r="AL69" s="98">
        <f t="shared" si="1"/>
        <v>23.12</v>
      </c>
      <c r="AM69" s="101">
        <f t="shared" si="2"/>
        <v>23.12</v>
      </c>
    </row>
    <row r="70" spans="1:51" hidden="1" x14ac:dyDescent="0.25">
      <c r="A70" s="411"/>
      <c r="B70" s="412"/>
      <c r="C70" s="412"/>
      <c r="D70" s="412"/>
      <c r="E70" s="412"/>
      <c r="F70" s="412"/>
      <c r="G70" s="412"/>
      <c r="H70" s="412"/>
      <c r="I70" s="96" t="s">
        <v>194</v>
      </c>
      <c r="J70" s="98">
        <v>6254</v>
      </c>
      <c r="K70" s="541"/>
      <c r="L70" s="164">
        <f t="shared" ref="L70:L72" si="13">($K$69/1000)*J70</f>
        <v>633.40512000000001</v>
      </c>
      <c r="M70" s="115" t="s">
        <v>195</v>
      </c>
      <c r="N70" s="161">
        <f t="shared" ref="N70:N72" si="14">J70</f>
        <v>6254</v>
      </c>
      <c r="O70" s="116">
        <v>460.44</v>
      </c>
      <c r="P70" s="164">
        <f t="shared" ref="P70:P72" si="15">(O70/1000)*N70</f>
        <v>2879.5917600000002</v>
      </c>
      <c r="T70" s="411"/>
      <c r="U70" s="412"/>
      <c r="V70" s="412"/>
      <c r="W70" s="412"/>
      <c r="X70" s="412"/>
      <c r="Y70" s="412"/>
      <c r="Z70" s="412"/>
      <c r="AA70" s="413"/>
      <c r="AC70" s="96">
        <v>57</v>
      </c>
      <c r="AD70" s="122">
        <v>43384</v>
      </c>
      <c r="AE70" s="116" t="s">
        <v>169</v>
      </c>
      <c r="AF70" s="116" t="s">
        <v>170</v>
      </c>
      <c r="AG70" s="116">
        <v>155</v>
      </c>
      <c r="AH70" s="105">
        <v>0.34</v>
      </c>
      <c r="AI70" s="98">
        <f t="shared" si="12"/>
        <v>68</v>
      </c>
      <c r="AJ70" s="116">
        <v>2</v>
      </c>
      <c r="AK70" s="98">
        <f t="shared" si="0"/>
        <v>46.24</v>
      </c>
      <c r="AL70" s="98">
        <f t="shared" si="1"/>
        <v>23.12</v>
      </c>
      <c r="AM70" s="101">
        <f t="shared" si="2"/>
        <v>23.12</v>
      </c>
    </row>
    <row r="71" spans="1:51" hidden="1" x14ac:dyDescent="0.25">
      <c r="A71" s="411"/>
      <c r="B71" s="412"/>
      <c r="C71" s="412"/>
      <c r="D71" s="412"/>
      <c r="E71" s="412"/>
      <c r="F71" s="412"/>
      <c r="G71" s="412"/>
      <c r="H71" s="412"/>
      <c r="I71" s="118" t="s">
        <v>199</v>
      </c>
      <c r="J71" s="165">
        <v>5571</v>
      </c>
      <c r="K71" s="541"/>
      <c r="L71" s="164">
        <f t="shared" si="13"/>
        <v>564.23087999999996</v>
      </c>
      <c r="M71" s="119" t="s">
        <v>200</v>
      </c>
      <c r="N71" s="161">
        <f t="shared" si="14"/>
        <v>5571</v>
      </c>
      <c r="O71" s="98">
        <v>460.44</v>
      </c>
      <c r="P71" s="164">
        <f t="shared" si="15"/>
        <v>2565.1112400000002</v>
      </c>
      <c r="T71" s="411"/>
      <c r="U71" s="412"/>
      <c r="V71" s="412"/>
      <c r="W71" s="412"/>
      <c r="X71" s="412"/>
      <c r="Y71" s="412"/>
      <c r="Z71" s="412"/>
      <c r="AA71" s="413"/>
      <c r="AC71" s="96">
        <v>58</v>
      </c>
      <c r="AD71" s="122">
        <v>43388</v>
      </c>
      <c r="AE71" s="116" t="s">
        <v>169</v>
      </c>
      <c r="AF71" s="180" t="s">
        <v>239</v>
      </c>
      <c r="AG71" s="116">
        <v>155</v>
      </c>
      <c r="AH71" s="105">
        <v>0.34</v>
      </c>
      <c r="AI71" s="116">
        <f>39*2</f>
        <v>78</v>
      </c>
      <c r="AJ71" s="116">
        <v>2</v>
      </c>
      <c r="AK71" s="98">
        <f t="shared" si="0"/>
        <v>53.040000000000006</v>
      </c>
      <c r="AL71" s="98">
        <f t="shared" si="1"/>
        <v>26.520000000000003</v>
      </c>
      <c r="AM71" s="101">
        <f t="shared" si="2"/>
        <v>26.520000000000003</v>
      </c>
    </row>
    <row r="72" spans="1:51" ht="16.5" hidden="1" thickBot="1" x14ac:dyDescent="0.3">
      <c r="A72" s="411"/>
      <c r="B72" s="412"/>
      <c r="C72" s="412"/>
      <c r="D72" s="412"/>
      <c r="E72" s="412"/>
      <c r="F72" s="412"/>
      <c r="G72" s="412"/>
      <c r="H72" s="412"/>
      <c r="I72" s="123" t="s">
        <v>205</v>
      </c>
      <c r="J72" s="124">
        <v>10336</v>
      </c>
      <c r="K72" s="539"/>
      <c r="L72" s="181">
        <f t="shared" si="13"/>
        <v>1046.83008</v>
      </c>
      <c r="M72" s="125" t="s">
        <v>206</v>
      </c>
      <c r="N72" s="178">
        <f t="shared" si="14"/>
        <v>10336</v>
      </c>
      <c r="O72" s="126">
        <v>178.33</v>
      </c>
      <c r="P72" s="181">
        <f t="shared" si="15"/>
        <v>1843.2188800000001</v>
      </c>
      <c r="T72" s="411"/>
      <c r="U72" s="412"/>
      <c r="V72" s="412"/>
      <c r="W72" s="412"/>
      <c r="X72" s="412"/>
      <c r="Y72" s="412"/>
      <c r="Z72" s="412"/>
      <c r="AA72" s="413"/>
      <c r="AC72" s="96">
        <v>59</v>
      </c>
      <c r="AD72" s="122">
        <v>43389</v>
      </c>
      <c r="AE72" s="116" t="s">
        <v>169</v>
      </c>
      <c r="AF72" s="180" t="s">
        <v>239</v>
      </c>
      <c r="AG72" s="116">
        <v>227</v>
      </c>
      <c r="AH72" s="163">
        <v>0.56999999999999995</v>
      </c>
      <c r="AI72" s="116">
        <f>39*2</f>
        <v>78</v>
      </c>
      <c r="AJ72" s="116">
        <v>2</v>
      </c>
      <c r="AK72" s="98">
        <f t="shared" si="0"/>
        <v>88.919999999999987</v>
      </c>
      <c r="AL72" s="98">
        <f t="shared" si="1"/>
        <v>44.459999999999994</v>
      </c>
      <c r="AM72" s="101">
        <f t="shared" si="2"/>
        <v>44.459999999999994</v>
      </c>
    </row>
    <row r="73" spans="1:51" ht="16.5" hidden="1" thickBot="1" x14ac:dyDescent="0.3">
      <c r="A73" s="411"/>
      <c r="B73" s="412"/>
      <c r="C73" s="412"/>
      <c r="D73" s="412"/>
      <c r="E73" s="412"/>
      <c r="F73" s="412"/>
      <c r="G73" s="412"/>
      <c r="H73" s="413"/>
      <c r="I73" s="454" t="s">
        <v>0</v>
      </c>
      <c r="J73" s="457">
        <f>SUM(J69:J72)</f>
        <v>30053</v>
      </c>
      <c r="K73" s="438" t="s">
        <v>209</v>
      </c>
      <c r="L73" s="530">
        <f>SUM(L69:L72)</f>
        <v>3043.7678399999995</v>
      </c>
      <c r="M73" s="454" t="s">
        <v>0</v>
      </c>
      <c r="N73" s="457">
        <f>SUM(O69:O72)</f>
        <v>1329.12</v>
      </c>
      <c r="O73" s="438"/>
      <c r="P73" s="533">
        <f>SUM(P69:P72)</f>
        <v>9102.3716000000004</v>
      </c>
      <c r="T73" s="414"/>
      <c r="U73" s="415"/>
      <c r="V73" s="415"/>
      <c r="W73" s="415"/>
      <c r="X73" s="415"/>
      <c r="Y73" s="415"/>
      <c r="Z73" s="415"/>
      <c r="AA73" s="416"/>
      <c r="AC73" s="96">
        <v>60</v>
      </c>
      <c r="AD73" s="122">
        <v>43391</v>
      </c>
      <c r="AE73" s="116" t="s">
        <v>169</v>
      </c>
      <c r="AF73" s="116" t="s">
        <v>176</v>
      </c>
      <c r="AG73" s="116">
        <v>201</v>
      </c>
      <c r="AH73" s="163">
        <v>0.27</v>
      </c>
      <c r="AI73" s="116">
        <f>148*2</f>
        <v>296</v>
      </c>
      <c r="AJ73" s="116">
        <v>2</v>
      </c>
      <c r="AK73" s="98">
        <f t="shared" si="0"/>
        <v>159.84</v>
      </c>
      <c r="AL73" s="98">
        <f t="shared" si="1"/>
        <v>79.92</v>
      </c>
      <c r="AM73" s="101">
        <f t="shared" si="2"/>
        <v>79.92</v>
      </c>
    </row>
    <row r="74" spans="1:51" ht="16.5" hidden="1" thickBot="1" x14ac:dyDescent="0.3">
      <c r="A74" s="411"/>
      <c r="B74" s="412"/>
      <c r="C74" s="412"/>
      <c r="D74" s="412"/>
      <c r="E74" s="412"/>
      <c r="F74" s="412"/>
      <c r="G74" s="412"/>
      <c r="H74" s="413"/>
      <c r="I74" s="454"/>
      <c r="J74" s="457"/>
      <c r="K74" s="438"/>
      <c r="L74" s="530"/>
      <c r="M74" s="454"/>
      <c r="N74" s="457"/>
      <c r="O74" s="438"/>
      <c r="P74" s="533"/>
      <c r="T74" s="423" t="s">
        <v>212</v>
      </c>
      <c r="U74" s="424"/>
      <c r="V74" s="424"/>
      <c r="W74" s="424"/>
      <c r="X74" s="490"/>
      <c r="Y74" s="490"/>
      <c r="Z74" s="490"/>
      <c r="AA74" s="491"/>
      <c r="AC74" s="96">
        <v>61</v>
      </c>
      <c r="AD74" s="122">
        <v>43403</v>
      </c>
      <c r="AE74" s="116" t="s">
        <v>169</v>
      </c>
      <c r="AF74" s="116" t="s">
        <v>170</v>
      </c>
      <c r="AG74" s="116">
        <v>155</v>
      </c>
      <c r="AH74" s="105">
        <v>0.34</v>
      </c>
      <c r="AI74" s="98">
        <f>34*2</f>
        <v>68</v>
      </c>
      <c r="AJ74" s="116">
        <v>4</v>
      </c>
      <c r="AK74" s="98">
        <f t="shared" si="0"/>
        <v>92.48</v>
      </c>
      <c r="AL74" s="98">
        <f t="shared" si="1"/>
        <v>23.12</v>
      </c>
      <c r="AM74" s="101">
        <f t="shared" si="2"/>
        <v>69.36</v>
      </c>
    </row>
    <row r="75" spans="1:51" ht="16.5" hidden="1" thickBot="1" x14ac:dyDescent="0.3">
      <c r="A75" s="414"/>
      <c r="B75" s="415"/>
      <c r="C75" s="415"/>
      <c r="D75" s="415"/>
      <c r="E75" s="415"/>
      <c r="F75" s="415"/>
      <c r="G75" s="415"/>
      <c r="H75" s="416"/>
      <c r="I75" s="455"/>
      <c r="J75" s="458"/>
      <c r="K75" s="439"/>
      <c r="L75" s="531"/>
      <c r="M75" s="455"/>
      <c r="N75" s="458"/>
      <c r="O75" s="439"/>
      <c r="P75" s="534"/>
      <c r="T75" s="513"/>
      <c r="U75" s="514"/>
      <c r="V75" s="514"/>
      <c r="W75" s="514"/>
      <c r="X75" s="514"/>
      <c r="Y75" s="514"/>
      <c r="Z75" s="514"/>
      <c r="AA75" s="515"/>
      <c r="AC75" s="96">
        <v>62</v>
      </c>
      <c r="AD75" s="122">
        <v>43417</v>
      </c>
      <c r="AE75" s="116" t="s">
        <v>169</v>
      </c>
      <c r="AF75" s="116" t="s">
        <v>170</v>
      </c>
      <c r="AG75" s="116">
        <v>254</v>
      </c>
      <c r="AH75" s="163">
        <v>0.12</v>
      </c>
      <c r="AI75" s="116">
        <f>34*2</f>
        <v>68</v>
      </c>
      <c r="AJ75" s="116">
        <v>2</v>
      </c>
      <c r="AK75" s="98">
        <f t="shared" si="0"/>
        <v>16.32</v>
      </c>
      <c r="AL75" s="98">
        <f t="shared" si="1"/>
        <v>8.16</v>
      </c>
      <c r="AM75" s="101">
        <f t="shared" si="2"/>
        <v>8.16</v>
      </c>
    </row>
    <row r="76" spans="1:51" ht="19.5" hidden="1" thickBot="1" x14ac:dyDescent="0.3">
      <c r="A76" s="396" t="s">
        <v>212</v>
      </c>
      <c r="B76" s="397"/>
      <c r="C76" s="397"/>
      <c r="D76" s="397"/>
      <c r="E76" s="397"/>
      <c r="F76" s="397"/>
      <c r="G76" s="397"/>
      <c r="H76" s="398"/>
      <c r="I76" s="481" t="s">
        <v>207</v>
      </c>
      <c r="J76" s="482"/>
      <c r="K76" s="482"/>
      <c r="L76" s="482"/>
      <c r="M76" s="482"/>
      <c r="N76" s="482"/>
      <c r="O76" s="482"/>
      <c r="P76" s="483"/>
      <c r="T76" s="519"/>
      <c r="U76" s="520"/>
      <c r="V76" s="520"/>
      <c r="W76" s="520"/>
      <c r="X76" s="520"/>
      <c r="Y76" s="520"/>
      <c r="Z76" s="520"/>
      <c r="AA76" s="521"/>
      <c r="AC76" s="96">
        <v>63</v>
      </c>
      <c r="AD76" s="122">
        <v>43418</v>
      </c>
      <c r="AE76" s="116" t="s">
        <v>169</v>
      </c>
      <c r="AF76" s="116" t="s">
        <v>230</v>
      </c>
      <c r="AG76" s="116">
        <v>157</v>
      </c>
      <c r="AH76" s="163">
        <v>0.33</v>
      </c>
      <c r="AI76" s="116">
        <f>22*2</f>
        <v>44</v>
      </c>
      <c r="AJ76" s="116">
        <v>2</v>
      </c>
      <c r="AK76" s="98">
        <f t="shared" si="0"/>
        <v>29.040000000000003</v>
      </c>
      <c r="AL76" s="98">
        <f t="shared" si="1"/>
        <v>14.520000000000001</v>
      </c>
      <c r="AM76" s="101">
        <f t="shared" si="2"/>
        <v>14.520000000000001</v>
      </c>
    </row>
    <row r="77" spans="1:51" hidden="1" x14ac:dyDescent="0.25">
      <c r="A77" s="505"/>
      <c r="B77" s="506"/>
      <c r="C77" s="506"/>
      <c r="D77" s="506"/>
      <c r="E77" s="506"/>
      <c r="F77" s="506"/>
      <c r="G77" s="506"/>
      <c r="H77" s="507"/>
      <c r="I77" s="448">
        <f>(P73-L73)/1000</f>
        <v>6.0586037600000004</v>
      </c>
      <c r="J77" s="449"/>
      <c r="K77" s="449"/>
      <c r="L77" s="449"/>
      <c r="M77" s="449"/>
      <c r="N77" s="449"/>
      <c r="O77" s="449"/>
      <c r="P77" s="471"/>
      <c r="AC77" s="96">
        <v>64</v>
      </c>
      <c r="AD77" s="122">
        <v>43426</v>
      </c>
      <c r="AE77" s="116" t="s">
        <v>169</v>
      </c>
      <c r="AF77" s="116" t="s">
        <v>176</v>
      </c>
      <c r="AG77" s="116">
        <v>211</v>
      </c>
      <c r="AH77" s="105">
        <v>0.3</v>
      </c>
      <c r="AI77" s="116">
        <f>148*2</f>
        <v>296</v>
      </c>
      <c r="AJ77" s="116">
        <v>3</v>
      </c>
      <c r="AK77" s="98">
        <f t="shared" si="0"/>
        <v>266.39999999999998</v>
      </c>
      <c r="AL77" s="98">
        <f t="shared" si="1"/>
        <v>88.8</v>
      </c>
      <c r="AM77" s="101">
        <f t="shared" si="2"/>
        <v>177.59999999999997</v>
      </c>
    </row>
    <row r="78" spans="1:51" ht="16.5" hidden="1" thickBot="1" x14ac:dyDescent="0.3">
      <c r="A78" s="508"/>
      <c r="B78" s="509"/>
      <c r="C78" s="509"/>
      <c r="D78" s="509"/>
      <c r="E78" s="509"/>
      <c r="F78" s="509"/>
      <c r="G78" s="509"/>
      <c r="H78" s="510"/>
      <c r="I78" s="477"/>
      <c r="J78" s="474"/>
      <c r="K78" s="474"/>
      <c r="L78" s="474"/>
      <c r="M78" s="474"/>
      <c r="N78" s="474"/>
      <c r="O78" s="474"/>
      <c r="P78" s="475"/>
      <c r="AC78" s="96">
        <v>65</v>
      </c>
      <c r="AD78" s="122">
        <v>43431</v>
      </c>
      <c r="AE78" s="116" t="s">
        <v>169</v>
      </c>
      <c r="AF78" s="116" t="s">
        <v>170</v>
      </c>
      <c r="AG78" s="116">
        <v>246</v>
      </c>
      <c r="AH78" s="105">
        <v>0.28999999999999998</v>
      </c>
      <c r="AI78" s="98">
        <f>34*2</f>
        <v>68</v>
      </c>
      <c r="AJ78" s="116">
        <v>2</v>
      </c>
      <c r="AK78" s="98">
        <f t="shared" si="0"/>
        <v>39.44</v>
      </c>
      <c r="AL78" s="98">
        <f t="shared" si="1"/>
        <v>19.72</v>
      </c>
      <c r="AM78" s="101">
        <f t="shared" si="2"/>
        <v>19.72</v>
      </c>
    </row>
    <row r="79" spans="1:51" ht="16.5" hidden="1" thickBot="1" x14ac:dyDescent="0.3">
      <c r="A79" s="396" t="s">
        <v>215</v>
      </c>
      <c r="B79" s="397"/>
      <c r="C79" s="397"/>
      <c r="D79" s="397"/>
      <c r="E79" s="397"/>
      <c r="F79" s="397"/>
      <c r="G79" s="397"/>
      <c r="H79" s="398"/>
      <c r="I79" s="396" t="s">
        <v>204</v>
      </c>
      <c r="J79" s="397"/>
      <c r="K79" s="397"/>
      <c r="L79" s="397"/>
      <c r="M79" s="397"/>
      <c r="N79" s="397"/>
      <c r="O79" s="397"/>
      <c r="P79" s="398"/>
      <c r="T79" s="393">
        <v>2020</v>
      </c>
      <c r="U79" s="394"/>
      <c r="V79" s="394"/>
      <c r="W79" s="394"/>
      <c r="X79" s="394"/>
      <c r="Y79" s="394"/>
      <c r="Z79" s="394"/>
      <c r="AA79" s="395"/>
      <c r="AC79" s="96">
        <v>66</v>
      </c>
      <c r="AD79" s="122">
        <v>43438</v>
      </c>
      <c r="AE79" s="116" t="s">
        <v>169</v>
      </c>
      <c r="AF79" s="116" t="s">
        <v>170</v>
      </c>
      <c r="AG79" s="116">
        <v>155</v>
      </c>
      <c r="AH79" s="105">
        <v>0.34</v>
      </c>
      <c r="AI79" s="98">
        <f>34*2</f>
        <v>68</v>
      </c>
      <c r="AJ79" s="116">
        <v>4</v>
      </c>
      <c r="AK79" s="98">
        <f t="shared" ref="AK79:AK80" si="16">AH79*AI79*AJ79</f>
        <v>92.48</v>
      </c>
      <c r="AL79" s="98">
        <f t="shared" ref="AL79:AL80" si="17">AH79*AI79</f>
        <v>23.12</v>
      </c>
      <c r="AM79" s="101">
        <f t="shared" ref="AM79:AM80" si="18">AK79-AL79</f>
        <v>69.36</v>
      </c>
    </row>
    <row r="80" spans="1:51" ht="16.5" hidden="1" thickBot="1" x14ac:dyDescent="0.3">
      <c r="A80" s="492" t="s">
        <v>216</v>
      </c>
      <c r="B80" s="493"/>
      <c r="C80" s="494"/>
      <c r="D80" s="492" t="s">
        <v>217</v>
      </c>
      <c r="E80" s="495"/>
      <c r="F80" s="487" t="s">
        <v>218</v>
      </c>
      <c r="G80" s="488"/>
      <c r="H80" s="489"/>
      <c r="I80" s="496" t="s">
        <v>179</v>
      </c>
      <c r="J80" s="497"/>
      <c r="K80" s="497"/>
      <c r="L80" s="498"/>
      <c r="M80" s="499" t="s">
        <v>208</v>
      </c>
      <c r="N80" s="500"/>
      <c r="O80" s="500"/>
      <c r="P80" s="501"/>
      <c r="T80" s="396" t="s">
        <v>151</v>
      </c>
      <c r="U80" s="397"/>
      <c r="V80" s="397"/>
      <c r="W80" s="397"/>
      <c r="X80" s="396" t="s">
        <v>152</v>
      </c>
      <c r="Y80" s="397"/>
      <c r="Z80" s="397"/>
      <c r="AA80" s="398"/>
      <c r="AC80" s="182">
        <v>67</v>
      </c>
      <c r="AD80" s="183">
        <v>43438</v>
      </c>
      <c r="AE80" s="184" t="s">
        <v>169</v>
      </c>
      <c r="AF80" s="184" t="s">
        <v>176</v>
      </c>
      <c r="AG80" s="184">
        <v>212</v>
      </c>
      <c r="AH80" s="185">
        <v>0.33</v>
      </c>
      <c r="AI80" s="184">
        <f>148*2</f>
        <v>296</v>
      </c>
      <c r="AJ80" s="184">
        <v>2</v>
      </c>
      <c r="AK80" s="98">
        <f t="shared" si="16"/>
        <v>195.36</v>
      </c>
      <c r="AL80" s="98">
        <f t="shared" si="17"/>
        <v>97.68</v>
      </c>
      <c r="AM80" s="186">
        <f t="shared" si="18"/>
        <v>97.68</v>
      </c>
    </row>
    <row r="81" spans="1:40" ht="16.5" hidden="1" thickBot="1" x14ac:dyDescent="0.3">
      <c r="A81" s="88" t="s">
        <v>220</v>
      </c>
      <c r="B81" s="89" t="s">
        <v>221</v>
      </c>
      <c r="C81" s="90" t="s">
        <v>0</v>
      </c>
      <c r="D81" s="134"/>
      <c r="E81" s="135"/>
      <c r="F81" s="136" t="s">
        <v>220</v>
      </c>
      <c r="G81" s="137" t="s">
        <v>221</v>
      </c>
      <c r="H81" s="138" t="s">
        <v>0</v>
      </c>
      <c r="I81" s="448" t="s">
        <v>210</v>
      </c>
      <c r="J81" s="449"/>
      <c r="K81" s="449" t="s">
        <v>197</v>
      </c>
      <c r="L81" s="471"/>
      <c r="M81" s="448" t="e">
        <f>(I77/I82)*1000</f>
        <v>#DIV/0!</v>
      </c>
      <c r="N81" s="449"/>
      <c r="O81" s="449"/>
      <c r="P81" s="471"/>
      <c r="T81" s="408" t="s">
        <v>155</v>
      </c>
      <c r="U81" s="409"/>
      <c r="V81" s="409"/>
      <c r="W81" s="410"/>
      <c r="X81" s="408" t="s">
        <v>156</v>
      </c>
      <c r="Y81" s="409"/>
      <c r="Z81" s="409"/>
      <c r="AA81" s="410"/>
      <c r="AC81" s="542" t="s">
        <v>0</v>
      </c>
      <c r="AD81" s="543"/>
      <c r="AE81" s="543"/>
      <c r="AF81" s="543"/>
      <c r="AG81" s="543"/>
      <c r="AH81" s="543"/>
      <c r="AI81" s="543"/>
      <c r="AJ81" s="543"/>
      <c r="AK81" s="543"/>
      <c r="AL81" s="544"/>
      <c r="AM81" s="187">
        <f>SUM(AM14:AM80)</f>
        <v>3652.1200000000003</v>
      </c>
    </row>
    <row r="82" spans="1:40" ht="132" hidden="1" customHeight="1" thickBot="1" x14ac:dyDescent="0.3">
      <c r="A82" s="102"/>
      <c r="B82" s="103"/>
      <c r="C82" s="104">
        <f>A82+B82</f>
        <v>0</v>
      </c>
      <c r="D82" s="139"/>
      <c r="E82" s="140"/>
      <c r="F82" s="123" t="e">
        <f>$D$31/A82</f>
        <v>#DIV/0!</v>
      </c>
      <c r="G82" s="124" t="e">
        <f>$D$31/B82</f>
        <v>#DIV/0!</v>
      </c>
      <c r="H82" s="129" t="e">
        <f>$D$31/C82</f>
        <v>#DIV/0!</v>
      </c>
      <c r="I82" s="477"/>
      <c r="J82" s="474"/>
      <c r="K82" s="474" t="s">
        <v>211</v>
      </c>
      <c r="L82" s="475"/>
      <c r="M82" s="477"/>
      <c r="N82" s="474"/>
      <c r="O82" s="474"/>
      <c r="P82" s="475"/>
      <c r="T82" s="411"/>
      <c r="U82" s="412"/>
      <c r="V82" s="412"/>
      <c r="W82" s="413"/>
      <c r="X82" s="411"/>
      <c r="Y82" s="412"/>
      <c r="Z82" s="412"/>
      <c r="AA82" s="413"/>
    </row>
    <row r="83" spans="1:40" ht="16.5" hidden="1" thickBot="1" x14ac:dyDescent="0.3">
      <c r="T83" s="411"/>
      <c r="U83" s="412"/>
      <c r="V83" s="412"/>
      <c r="W83" s="413"/>
      <c r="X83" s="411"/>
      <c r="Y83" s="412"/>
      <c r="Z83" s="412"/>
      <c r="AA83" s="413"/>
    </row>
    <row r="84" spans="1:40" ht="16.5" hidden="1" thickBot="1" x14ac:dyDescent="0.3">
      <c r="T84" s="411"/>
      <c r="U84" s="412"/>
      <c r="V84" s="412"/>
      <c r="W84" s="413"/>
      <c r="X84" s="411"/>
      <c r="Y84" s="412"/>
      <c r="Z84" s="412"/>
      <c r="AA84" s="413"/>
      <c r="AC84" s="545" t="s">
        <v>240</v>
      </c>
      <c r="AD84" s="546"/>
      <c r="AE84" s="546"/>
      <c r="AF84" s="546"/>
      <c r="AG84" s="546"/>
      <c r="AH84" s="546"/>
      <c r="AI84" s="546"/>
      <c r="AJ84" s="546"/>
      <c r="AK84" s="546"/>
      <c r="AL84" s="546"/>
      <c r="AM84" s="546"/>
      <c r="AN84" s="547"/>
    </row>
    <row r="85" spans="1:40" ht="16.5" hidden="1" thickBot="1" x14ac:dyDescent="0.3">
      <c r="A85" s="390">
        <v>2020</v>
      </c>
      <c r="B85" s="391"/>
      <c r="C85" s="391"/>
      <c r="D85" s="391"/>
      <c r="E85" s="391"/>
      <c r="F85" s="391"/>
      <c r="G85" s="391"/>
      <c r="H85" s="391"/>
      <c r="I85" s="391"/>
      <c r="J85" s="391"/>
      <c r="K85" s="391"/>
      <c r="L85" s="391"/>
      <c r="M85" s="391"/>
      <c r="N85" s="391"/>
      <c r="O85" s="391"/>
      <c r="P85" s="392"/>
      <c r="T85" s="411"/>
      <c r="U85" s="412"/>
      <c r="V85" s="412"/>
      <c r="W85" s="413"/>
      <c r="X85" s="411"/>
      <c r="Y85" s="412"/>
      <c r="Z85" s="412"/>
      <c r="AA85" s="413"/>
      <c r="AC85" s="548"/>
      <c r="AD85" s="549"/>
      <c r="AE85" s="549"/>
      <c r="AF85" s="549"/>
      <c r="AG85" s="549"/>
      <c r="AH85" s="549"/>
      <c r="AI85" s="549"/>
      <c r="AJ85" s="549"/>
      <c r="AK85" s="549"/>
      <c r="AL85" s="549"/>
      <c r="AM85" s="549"/>
      <c r="AN85" s="550"/>
    </row>
    <row r="86" spans="1:40" ht="16.5" hidden="1" thickBot="1" x14ac:dyDescent="0.3">
      <c r="A86" s="396" t="s">
        <v>151</v>
      </c>
      <c r="B86" s="397"/>
      <c r="C86" s="397"/>
      <c r="D86" s="397"/>
      <c r="E86" s="397"/>
      <c r="F86" s="397"/>
      <c r="G86" s="397"/>
      <c r="H86" s="398"/>
      <c r="I86" s="396" t="s">
        <v>152</v>
      </c>
      <c r="J86" s="397"/>
      <c r="K86" s="397"/>
      <c r="L86" s="397"/>
      <c r="M86" s="397"/>
      <c r="N86" s="397"/>
      <c r="O86" s="397"/>
      <c r="P86" s="398"/>
      <c r="T86" s="414"/>
      <c r="U86" s="415"/>
      <c r="V86" s="415"/>
      <c r="W86" s="416"/>
      <c r="X86" s="414"/>
      <c r="Y86" s="415"/>
      <c r="Z86" s="415"/>
      <c r="AA86" s="416"/>
      <c r="AC86" s="551"/>
      <c r="AD86" s="552"/>
      <c r="AE86" s="552"/>
      <c r="AF86" s="552"/>
      <c r="AG86" s="552"/>
      <c r="AH86" s="552"/>
      <c r="AI86" s="552"/>
      <c r="AJ86" s="552"/>
      <c r="AK86" s="552"/>
      <c r="AL86" s="552"/>
      <c r="AM86" s="552"/>
      <c r="AN86" s="553"/>
    </row>
    <row r="87" spans="1:40" ht="51" hidden="1" thickBot="1" x14ac:dyDescent="0.3">
      <c r="A87" s="399"/>
      <c r="B87" s="400"/>
      <c r="C87" s="400"/>
      <c r="D87" s="400"/>
      <c r="E87" s="400"/>
      <c r="F87" s="400"/>
      <c r="G87" s="400"/>
      <c r="H87" s="401"/>
      <c r="I87" s="399"/>
      <c r="J87" s="400"/>
      <c r="K87" s="400"/>
      <c r="L87" s="400"/>
      <c r="M87" s="400"/>
      <c r="N87" s="400"/>
      <c r="O87" s="400"/>
      <c r="P87" s="401"/>
      <c r="T87" s="423" t="s">
        <v>171</v>
      </c>
      <c r="U87" s="424"/>
      <c r="V87" s="424"/>
      <c r="W87" s="425"/>
      <c r="X87" s="423" t="s">
        <v>172</v>
      </c>
      <c r="Y87" s="424"/>
      <c r="Z87" s="424"/>
      <c r="AA87" s="425"/>
      <c r="AC87" s="188" t="s">
        <v>158</v>
      </c>
      <c r="AD87" s="188" t="s">
        <v>225</v>
      </c>
      <c r="AE87" s="188" t="s">
        <v>159</v>
      </c>
      <c r="AF87" s="188" t="s">
        <v>160</v>
      </c>
      <c r="AG87" s="188" t="s">
        <v>161</v>
      </c>
      <c r="AH87" s="188" t="s">
        <v>162</v>
      </c>
      <c r="AI87" s="189" t="s">
        <v>163</v>
      </c>
      <c r="AJ87" s="189" t="s">
        <v>164</v>
      </c>
      <c r="AK87" s="189" t="s">
        <v>165</v>
      </c>
      <c r="AL87" s="189" t="s">
        <v>166</v>
      </c>
      <c r="AM87" s="189" t="s">
        <v>167</v>
      </c>
      <c r="AN87" s="189" t="s">
        <v>168</v>
      </c>
    </row>
    <row r="88" spans="1:40" ht="16.5" hidden="1" thickBot="1" x14ac:dyDescent="0.3">
      <c r="A88" s="402"/>
      <c r="B88" s="403"/>
      <c r="C88" s="403"/>
      <c r="D88" s="403"/>
      <c r="E88" s="403"/>
      <c r="F88" s="403"/>
      <c r="G88" s="403"/>
      <c r="H88" s="404"/>
      <c r="I88" s="402"/>
      <c r="J88" s="403"/>
      <c r="K88" s="403"/>
      <c r="L88" s="403"/>
      <c r="M88" s="403"/>
      <c r="N88" s="403"/>
      <c r="O88" s="403"/>
      <c r="P88" s="404"/>
      <c r="T88" s="408" t="s">
        <v>191</v>
      </c>
      <c r="U88" s="409"/>
      <c r="V88" s="409"/>
      <c r="W88" s="410"/>
      <c r="X88" s="440" t="s">
        <v>192</v>
      </c>
      <c r="Y88" s="441"/>
      <c r="Z88" s="441"/>
      <c r="AA88" s="442"/>
      <c r="AC88" s="190">
        <v>1</v>
      </c>
      <c r="AD88" s="94"/>
      <c r="AE88" s="191">
        <v>43493</v>
      </c>
      <c r="AF88" s="94" t="s">
        <v>169</v>
      </c>
      <c r="AG88" s="94" t="s">
        <v>241</v>
      </c>
      <c r="AH88" s="94" t="s">
        <v>242</v>
      </c>
      <c r="AI88" s="94">
        <v>0.52</v>
      </c>
      <c r="AJ88" s="192">
        <f>129*2</f>
        <v>258</v>
      </c>
      <c r="AK88" s="94">
        <v>5</v>
      </c>
      <c r="AL88" s="94">
        <f>AI88*AJ88*AK88</f>
        <v>670.8</v>
      </c>
      <c r="AM88" s="94">
        <f>AI88*AJ88</f>
        <v>134.16</v>
      </c>
      <c r="AN88" s="168">
        <f>AL88-AM88</f>
        <v>536.64</v>
      </c>
    </row>
    <row r="89" spans="1:40" hidden="1" x14ac:dyDescent="0.25">
      <c r="A89" s="402"/>
      <c r="B89" s="403"/>
      <c r="C89" s="403"/>
      <c r="D89" s="403"/>
      <c r="E89" s="403"/>
      <c r="F89" s="403"/>
      <c r="G89" s="403"/>
      <c r="H89" s="404"/>
      <c r="I89" s="402"/>
      <c r="J89" s="403"/>
      <c r="K89" s="403"/>
      <c r="L89" s="403"/>
      <c r="M89" s="403"/>
      <c r="N89" s="403"/>
      <c r="O89" s="403"/>
      <c r="P89" s="404"/>
      <c r="T89" s="411"/>
      <c r="U89" s="412"/>
      <c r="V89" s="412"/>
      <c r="W89" s="412"/>
      <c r="X89" s="117" t="s">
        <v>196</v>
      </c>
      <c r="Y89" s="111" t="s">
        <v>197</v>
      </c>
      <c r="Z89" s="117" t="s">
        <v>198</v>
      </c>
      <c r="AA89" s="111" t="s">
        <v>197</v>
      </c>
      <c r="AC89" s="193">
        <v>2</v>
      </c>
      <c r="AD89" s="98"/>
      <c r="AE89" s="97">
        <v>43502</v>
      </c>
      <c r="AF89" s="98" t="s">
        <v>169</v>
      </c>
      <c r="AG89" s="98" t="s">
        <v>243</v>
      </c>
      <c r="AH89" s="98" t="s">
        <v>244</v>
      </c>
      <c r="AI89" s="98">
        <v>0.26</v>
      </c>
      <c r="AJ89" s="165">
        <f>32.1*2</f>
        <v>64.2</v>
      </c>
      <c r="AK89" s="98">
        <v>2</v>
      </c>
      <c r="AL89" s="154">
        <f t="shared" ref="AL89:AL131" si="19">AI89*AJ89*AK89</f>
        <v>33.384</v>
      </c>
      <c r="AM89" s="154">
        <f t="shared" ref="AM89:AM131" si="20">AI89*AJ89</f>
        <v>16.692</v>
      </c>
      <c r="AN89" s="158">
        <f t="shared" ref="AN89:AN131" si="21">AL89-AM89</f>
        <v>16.692</v>
      </c>
    </row>
    <row r="90" spans="1:40" ht="34.5" hidden="1" customHeight="1" thickBot="1" x14ac:dyDescent="0.3">
      <c r="A90" s="405"/>
      <c r="B90" s="406"/>
      <c r="C90" s="406"/>
      <c r="D90" s="406"/>
      <c r="E90" s="406"/>
      <c r="F90" s="406"/>
      <c r="G90" s="406"/>
      <c r="H90" s="407"/>
      <c r="I90" s="405"/>
      <c r="J90" s="406"/>
      <c r="K90" s="406"/>
      <c r="L90" s="406"/>
      <c r="M90" s="406"/>
      <c r="N90" s="406"/>
      <c r="O90" s="406"/>
      <c r="P90" s="407"/>
      <c r="T90" s="411"/>
      <c r="U90" s="412"/>
      <c r="V90" s="412"/>
      <c r="W90" s="412"/>
      <c r="X90" s="120">
        <f>AC148</f>
        <v>8</v>
      </c>
      <c r="Y90" s="104" t="s">
        <v>201</v>
      </c>
      <c r="Z90" s="120">
        <f>AN149</f>
        <v>454.10399999999998</v>
      </c>
      <c r="AA90" s="121" t="s">
        <v>202</v>
      </c>
      <c r="AC90" s="193">
        <v>3</v>
      </c>
      <c r="AD90" s="98"/>
      <c r="AE90" s="97">
        <v>43503</v>
      </c>
      <c r="AF90" s="98" t="s">
        <v>169</v>
      </c>
      <c r="AG90" s="98" t="s">
        <v>241</v>
      </c>
      <c r="AH90" s="98" t="s">
        <v>245</v>
      </c>
      <c r="AI90" s="98">
        <v>0.37</v>
      </c>
      <c r="AJ90" s="165">
        <f>129*2</f>
        <v>258</v>
      </c>
      <c r="AK90" s="98">
        <v>4</v>
      </c>
      <c r="AL90" s="154">
        <f t="shared" si="19"/>
        <v>381.84</v>
      </c>
      <c r="AM90" s="154">
        <f t="shared" si="20"/>
        <v>95.46</v>
      </c>
      <c r="AN90" s="158">
        <f t="shared" si="21"/>
        <v>286.38</v>
      </c>
    </row>
    <row r="91" spans="1:40" ht="19.5" hidden="1" thickBot="1" x14ac:dyDescent="0.3">
      <c r="A91" s="396" t="s">
        <v>171</v>
      </c>
      <c r="B91" s="397"/>
      <c r="C91" s="397"/>
      <c r="D91" s="397"/>
      <c r="E91" s="397"/>
      <c r="F91" s="397"/>
      <c r="G91" s="397"/>
      <c r="H91" s="398"/>
      <c r="I91" s="396" t="s">
        <v>172</v>
      </c>
      <c r="J91" s="397"/>
      <c r="K91" s="397"/>
      <c r="L91" s="397"/>
      <c r="M91" s="397"/>
      <c r="N91" s="397"/>
      <c r="O91" s="397"/>
      <c r="P91" s="398"/>
      <c r="T91" s="411"/>
      <c r="U91" s="412"/>
      <c r="V91" s="412"/>
      <c r="W91" s="413"/>
      <c r="X91" s="440" t="s">
        <v>207</v>
      </c>
      <c r="Y91" s="441"/>
      <c r="Z91" s="441"/>
      <c r="AA91" s="442"/>
      <c r="AC91" s="193">
        <v>4</v>
      </c>
      <c r="AD91" s="98"/>
      <c r="AE91" s="97">
        <v>43503</v>
      </c>
      <c r="AF91" s="98" t="s">
        <v>169</v>
      </c>
      <c r="AG91" s="98" t="s">
        <v>243</v>
      </c>
      <c r="AH91" s="98" t="s">
        <v>246</v>
      </c>
      <c r="AI91" s="98">
        <v>0.61</v>
      </c>
      <c r="AJ91" s="165">
        <v>64</v>
      </c>
      <c r="AK91" s="98">
        <v>2</v>
      </c>
      <c r="AL91" s="154">
        <f t="shared" si="19"/>
        <v>78.08</v>
      </c>
      <c r="AM91" s="154">
        <f t="shared" si="20"/>
        <v>39.04</v>
      </c>
      <c r="AN91" s="158">
        <f t="shared" si="21"/>
        <v>39.04</v>
      </c>
    </row>
    <row r="92" spans="1:40" ht="16.5" hidden="1" thickBot="1" x14ac:dyDescent="0.3">
      <c r="A92" s="411"/>
      <c r="B92" s="412"/>
      <c r="C92" s="412"/>
      <c r="D92" s="412"/>
      <c r="E92" s="412"/>
      <c r="F92" s="412"/>
      <c r="G92" s="412"/>
      <c r="H92" s="412"/>
      <c r="I92" s="396" t="s">
        <v>174</v>
      </c>
      <c r="J92" s="397"/>
      <c r="K92" s="397"/>
      <c r="L92" s="398"/>
      <c r="M92" s="396" t="s">
        <v>175</v>
      </c>
      <c r="N92" s="397"/>
      <c r="O92" s="397"/>
      <c r="P92" s="398"/>
      <c r="T92" s="411"/>
      <c r="U92" s="412"/>
      <c r="V92" s="412"/>
      <c r="W92" s="413"/>
      <c r="X92" s="465">
        <f>Z90/1000</f>
        <v>0.45410400000000001</v>
      </c>
      <c r="Y92" s="466"/>
      <c r="Z92" s="466"/>
      <c r="AA92" s="467"/>
      <c r="AC92" s="193">
        <v>5</v>
      </c>
      <c r="AD92" s="98"/>
      <c r="AE92" s="97">
        <v>43504</v>
      </c>
      <c r="AF92" s="98" t="s">
        <v>169</v>
      </c>
      <c r="AG92" s="98" t="s">
        <v>241</v>
      </c>
      <c r="AH92" s="98" t="s">
        <v>242</v>
      </c>
      <c r="AI92" s="98">
        <v>0.52</v>
      </c>
      <c r="AJ92" s="165">
        <f>129*2</f>
        <v>258</v>
      </c>
      <c r="AK92" s="98">
        <v>2</v>
      </c>
      <c r="AL92" s="154">
        <f t="shared" si="19"/>
        <v>268.32</v>
      </c>
      <c r="AM92" s="154">
        <f t="shared" si="20"/>
        <v>134.16</v>
      </c>
      <c r="AN92" s="158">
        <f t="shared" si="21"/>
        <v>134.16</v>
      </c>
    </row>
    <row r="93" spans="1:40" ht="35.25" hidden="1" thickBot="1" x14ac:dyDescent="0.3">
      <c r="A93" s="396" t="s">
        <v>182</v>
      </c>
      <c r="B93" s="397"/>
      <c r="C93" s="397"/>
      <c r="D93" s="397"/>
      <c r="E93" s="397"/>
      <c r="F93" s="397"/>
      <c r="G93" s="397"/>
      <c r="H93" s="398"/>
      <c r="I93" s="106" t="s">
        <v>162</v>
      </c>
      <c r="J93" s="106" t="s">
        <v>183</v>
      </c>
      <c r="K93" s="106" t="s">
        <v>184</v>
      </c>
      <c r="L93" s="106" t="s">
        <v>247</v>
      </c>
      <c r="M93" s="106" t="s">
        <v>162</v>
      </c>
      <c r="N93" s="106" t="s">
        <v>183</v>
      </c>
      <c r="O93" s="106" t="s">
        <v>184</v>
      </c>
      <c r="P93" s="106" t="s">
        <v>185</v>
      </c>
      <c r="T93" s="411"/>
      <c r="U93" s="412"/>
      <c r="V93" s="412"/>
      <c r="W93" s="413"/>
      <c r="X93" s="468"/>
      <c r="Y93" s="469"/>
      <c r="Z93" s="469"/>
      <c r="AA93" s="470"/>
      <c r="AC93" s="193">
        <v>6</v>
      </c>
      <c r="AD93" s="98"/>
      <c r="AE93" s="194">
        <v>43507</v>
      </c>
      <c r="AF93" s="98" t="s">
        <v>169</v>
      </c>
      <c r="AG93" s="92" t="s">
        <v>230</v>
      </c>
      <c r="AH93" s="98" t="s">
        <v>248</v>
      </c>
      <c r="AI93" s="98">
        <v>0.33</v>
      </c>
      <c r="AJ93" s="165">
        <f>23.4*2</f>
        <v>46.8</v>
      </c>
      <c r="AK93" s="87">
        <v>3</v>
      </c>
      <c r="AL93" s="154">
        <f>AI93*AJ93*AK94</f>
        <v>30.887999999999998</v>
      </c>
      <c r="AM93" s="154">
        <f t="shared" si="20"/>
        <v>15.443999999999999</v>
      </c>
      <c r="AN93" s="158">
        <f t="shared" si="21"/>
        <v>15.443999999999999</v>
      </c>
    </row>
    <row r="94" spans="1:40" ht="16.5" hidden="1" thickBot="1" x14ac:dyDescent="0.3">
      <c r="A94" s="408"/>
      <c r="B94" s="409"/>
      <c r="C94" s="409"/>
      <c r="D94" s="409"/>
      <c r="E94" s="409"/>
      <c r="F94" s="409"/>
      <c r="G94" s="409"/>
      <c r="H94" s="410"/>
      <c r="I94" s="117"/>
      <c r="J94" s="110"/>
      <c r="K94" s="554"/>
      <c r="L94" s="110">
        <f>($K$19*1000)*J94</f>
        <v>0</v>
      </c>
      <c r="M94" s="110"/>
      <c r="N94" s="110"/>
      <c r="O94" s="110"/>
      <c r="P94" s="111">
        <f>(O94*1000)*O94</f>
        <v>0</v>
      </c>
      <c r="T94" s="411"/>
      <c r="U94" s="412"/>
      <c r="V94" s="412"/>
      <c r="W94" s="413"/>
      <c r="X94" s="478" t="s">
        <v>204</v>
      </c>
      <c r="Y94" s="479"/>
      <c r="Z94" s="479"/>
      <c r="AA94" s="480"/>
      <c r="AC94" s="193">
        <v>7</v>
      </c>
      <c r="AD94" s="98"/>
      <c r="AE94" s="97">
        <v>43508</v>
      </c>
      <c r="AF94" s="98" t="s">
        <v>169</v>
      </c>
      <c r="AG94" s="98" t="s">
        <v>224</v>
      </c>
      <c r="AH94" s="98" t="s">
        <v>249</v>
      </c>
      <c r="AI94" s="98">
        <v>0.23</v>
      </c>
      <c r="AJ94" s="165">
        <f>21.1*2</f>
        <v>42.2</v>
      </c>
      <c r="AK94" s="98">
        <v>2</v>
      </c>
      <c r="AL94" s="154">
        <f>AI94*AJ94*AK95</f>
        <v>19.412000000000003</v>
      </c>
      <c r="AM94" s="154">
        <f t="shared" si="20"/>
        <v>9.7060000000000013</v>
      </c>
      <c r="AN94" s="158">
        <f t="shared" si="21"/>
        <v>9.7060000000000013</v>
      </c>
    </row>
    <row r="95" spans="1:40" hidden="1" x14ac:dyDescent="0.25">
      <c r="A95" s="411"/>
      <c r="B95" s="412"/>
      <c r="C95" s="412"/>
      <c r="D95" s="412"/>
      <c r="E95" s="412"/>
      <c r="F95" s="412"/>
      <c r="G95" s="412"/>
      <c r="H95" s="413"/>
      <c r="I95" s="96"/>
      <c r="J95" s="98"/>
      <c r="K95" s="555"/>
      <c r="L95" s="116">
        <f t="shared" ref="L95:L97" si="22">($K$19*1000)*J95</f>
        <v>0</v>
      </c>
      <c r="M95" s="116"/>
      <c r="N95" s="116"/>
      <c r="O95" s="116"/>
      <c r="P95" s="114">
        <f t="shared" ref="P95:P97" si="23">(O95*1000)*O95</f>
        <v>0</v>
      </c>
      <c r="T95" s="411"/>
      <c r="U95" s="412"/>
      <c r="V95" s="412"/>
      <c r="W95" s="412"/>
      <c r="X95" s="484" t="s">
        <v>250</v>
      </c>
      <c r="Y95" s="485"/>
      <c r="Z95" s="486" t="s">
        <v>208</v>
      </c>
      <c r="AA95" s="471"/>
      <c r="AC95" s="193">
        <v>8</v>
      </c>
      <c r="AD95" s="98"/>
      <c r="AE95" s="97">
        <v>43508</v>
      </c>
      <c r="AF95" s="98" t="s">
        <v>169</v>
      </c>
      <c r="AG95" s="98" t="s">
        <v>230</v>
      </c>
      <c r="AH95" s="98" t="s">
        <v>251</v>
      </c>
      <c r="AI95" s="98">
        <v>0.31</v>
      </c>
      <c r="AJ95" s="165">
        <f t="shared" ref="AJ95:AJ97" si="24">23.4*2</f>
        <v>46.8</v>
      </c>
      <c r="AK95" s="98">
        <v>2</v>
      </c>
      <c r="AL95" s="154">
        <f>AI95*AJ95*AK96</f>
        <v>29.015999999999998</v>
      </c>
      <c r="AM95" s="154">
        <f t="shared" si="20"/>
        <v>14.507999999999999</v>
      </c>
      <c r="AN95" s="158">
        <f t="shared" si="21"/>
        <v>14.507999999999999</v>
      </c>
    </row>
    <row r="96" spans="1:40" hidden="1" x14ac:dyDescent="0.25">
      <c r="A96" s="411"/>
      <c r="B96" s="412"/>
      <c r="C96" s="412"/>
      <c r="D96" s="412"/>
      <c r="E96" s="412"/>
      <c r="F96" s="412"/>
      <c r="G96" s="412"/>
      <c r="H96" s="413"/>
      <c r="I96" s="118"/>
      <c r="J96" s="105"/>
      <c r="K96" s="555"/>
      <c r="L96" s="116">
        <f t="shared" si="22"/>
        <v>0</v>
      </c>
      <c r="M96" s="116"/>
      <c r="N96" s="116"/>
      <c r="O96" s="116"/>
      <c r="P96" s="114">
        <f t="shared" si="23"/>
        <v>0</v>
      </c>
      <c r="T96" s="411"/>
      <c r="U96" s="412"/>
      <c r="V96" s="412"/>
      <c r="W96" s="412"/>
      <c r="X96" s="118" t="s">
        <v>210</v>
      </c>
      <c r="Y96" s="127" t="s">
        <v>197</v>
      </c>
      <c r="Z96" s="511" t="e">
        <f>(X92/X97)*100</f>
        <v>#DIV/0!</v>
      </c>
      <c r="AA96" s="473"/>
      <c r="AC96" s="193">
        <v>9</v>
      </c>
      <c r="AD96" s="98"/>
      <c r="AE96" s="97">
        <v>43509</v>
      </c>
      <c r="AF96" s="98" t="s">
        <v>169</v>
      </c>
      <c r="AG96" s="98" t="s">
        <v>230</v>
      </c>
      <c r="AH96" s="98" t="s">
        <v>248</v>
      </c>
      <c r="AI96" s="98">
        <v>0.33</v>
      </c>
      <c r="AJ96" s="165">
        <f t="shared" si="24"/>
        <v>46.8</v>
      </c>
      <c r="AK96" s="98">
        <v>2</v>
      </c>
      <c r="AL96" s="154">
        <f t="shared" si="19"/>
        <v>30.887999999999998</v>
      </c>
      <c r="AM96" s="154">
        <f t="shared" si="20"/>
        <v>15.443999999999999</v>
      </c>
      <c r="AN96" s="158">
        <f t="shared" si="21"/>
        <v>15.443999999999999</v>
      </c>
    </row>
    <row r="97" spans="1:40" ht="19.5" hidden="1" thickBot="1" x14ac:dyDescent="0.3">
      <c r="A97" s="411"/>
      <c r="B97" s="412"/>
      <c r="C97" s="412"/>
      <c r="D97" s="412"/>
      <c r="E97" s="412"/>
      <c r="F97" s="412"/>
      <c r="G97" s="412"/>
      <c r="H97" s="413"/>
      <c r="I97" s="123"/>
      <c r="J97" s="124"/>
      <c r="K97" s="556"/>
      <c r="L97" s="126">
        <f t="shared" si="22"/>
        <v>0</v>
      </c>
      <c r="M97" s="126"/>
      <c r="N97" s="126"/>
      <c r="O97" s="126"/>
      <c r="P97" s="132">
        <f t="shared" si="23"/>
        <v>0</v>
      </c>
      <c r="T97" s="414"/>
      <c r="U97" s="415"/>
      <c r="V97" s="415"/>
      <c r="W97" s="415"/>
      <c r="X97" s="123"/>
      <c r="Y97" s="129" t="s">
        <v>211</v>
      </c>
      <c r="Z97" s="512"/>
      <c r="AA97" s="475"/>
      <c r="AC97" s="193">
        <v>10</v>
      </c>
      <c r="AD97" s="98"/>
      <c r="AE97" s="97">
        <v>43509</v>
      </c>
      <c r="AF97" s="98" t="s">
        <v>169</v>
      </c>
      <c r="AG97" s="98" t="s">
        <v>230</v>
      </c>
      <c r="AH97" s="98" t="s">
        <v>252</v>
      </c>
      <c r="AI97" s="98">
        <v>0.36</v>
      </c>
      <c r="AJ97" s="165">
        <f t="shared" si="24"/>
        <v>46.8</v>
      </c>
      <c r="AK97" s="98">
        <v>2</v>
      </c>
      <c r="AL97" s="154">
        <f t="shared" si="19"/>
        <v>33.695999999999998</v>
      </c>
      <c r="AM97" s="154">
        <f t="shared" si="20"/>
        <v>16.847999999999999</v>
      </c>
      <c r="AN97" s="158">
        <f t="shared" si="21"/>
        <v>16.847999999999999</v>
      </c>
    </row>
    <row r="98" spans="1:40" ht="16.5" hidden="1" thickBot="1" x14ac:dyDescent="0.3">
      <c r="A98" s="411"/>
      <c r="B98" s="412"/>
      <c r="C98" s="412"/>
      <c r="D98" s="412"/>
      <c r="E98" s="412"/>
      <c r="F98" s="412"/>
      <c r="G98" s="412"/>
      <c r="H98" s="413"/>
      <c r="I98" s="453" t="s">
        <v>0</v>
      </c>
      <c r="J98" s="456">
        <f>SUM(J94:J97)</f>
        <v>0</v>
      </c>
      <c r="K98" s="437" t="s">
        <v>209</v>
      </c>
      <c r="L98" s="459">
        <f>SUM(L94:L97)</f>
        <v>0</v>
      </c>
      <c r="M98" s="453" t="s">
        <v>0</v>
      </c>
      <c r="N98" s="456">
        <f>SUM(N94:N97)</f>
        <v>0</v>
      </c>
      <c r="O98" s="437"/>
      <c r="P98" s="462">
        <f>SUM(P94:P97)</f>
        <v>0</v>
      </c>
      <c r="T98" s="423" t="s">
        <v>215</v>
      </c>
      <c r="U98" s="424"/>
      <c r="V98" s="424"/>
      <c r="W98" s="424"/>
      <c r="X98" s="490"/>
      <c r="Y98" s="490"/>
      <c r="Z98" s="490"/>
      <c r="AA98" s="491"/>
      <c r="AC98" s="193">
        <v>11</v>
      </c>
      <c r="AD98" s="98"/>
      <c r="AE98" s="97">
        <v>43530</v>
      </c>
      <c r="AF98" s="98" t="s">
        <v>169</v>
      </c>
      <c r="AG98" s="98" t="s">
        <v>241</v>
      </c>
      <c r="AH98" s="98" t="s">
        <v>245</v>
      </c>
      <c r="AI98" s="98">
        <v>0.37</v>
      </c>
      <c r="AJ98" s="165">
        <f>129*2</f>
        <v>258</v>
      </c>
      <c r="AK98" s="98">
        <v>3</v>
      </c>
      <c r="AL98" s="154">
        <f t="shared" si="19"/>
        <v>286.38</v>
      </c>
      <c r="AM98" s="154">
        <f t="shared" si="20"/>
        <v>95.46</v>
      </c>
      <c r="AN98" s="158">
        <f t="shared" si="21"/>
        <v>190.92000000000002</v>
      </c>
    </row>
    <row r="99" spans="1:40" ht="16.5" hidden="1" thickBot="1" x14ac:dyDescent="0.3">
      <c r="A99" s="411"/>
      <c r="B99" s="412"/>
      <c r="C99" s="412"/>
      <c r="D99" s="412"/>
      <c r="E99" s="412"/>
      <c r="F99" s="412"/>
      <c r="G99" s="412"/>
      <c r="H99" s="413"/>
      <c r="I99" s="454"/>
      <c r="J99" s="457"/>
      <c r="K99" s="438"/>
      <c r="L99" s="460"/>
      <c r="M99" s="454"/>
      <c r="N99" s="457"/>
      <c r="O99" s="438"/>
      <c r="P99" s="463"/>
      <c r="T99" s="502" t="s">
        <v>216</v>
      </c>
      <c r="U99" s="503"/>
      <c r="V99" s="504"/>
      <c r="W99" s="522" t="s">
        <v>217</v>
      </c>
      <c r="X99" s="522"/>
      <c r="Y99" s="523" t="s">
        <v>218</v>
      </c>
      <c r="Z99" s="524"/>
      <c r="AA99" s="525"/>
      <c r="AC99" s="193">
        <v>12</v>
      </c>
      <c r="AD99" s="98"/>
      <c r="AE99" s="97">
        <v>43530</v>
      </c>
      <c r="AF99" s="98" t="s">
        <v>169</v>
      </c>
      <c r="AG99" s="98" t="s">
        <v>253</v>
      </c>
      <c r="AH99" s="98" t="s">
        <v>254</v>
      </c>
      <c r="AI99" s="98">
        <v>0.45</v>
      </c>
      <c r="AJ99" s="165">
        <f>148*2</f>
        <v>296</v>
      </c>
      <c r="AK99" s="98">
        <v>2</v>
      </c>
      <c r="AL99" s="154">
        <f t="shared" si="19"/>
        <v>266.40000000000003</v>
      </c>
      <c r="AM99" s="154">
        <f t="shared" si="20"/>
        <v>133.20000000000002</v>
      </c>
      <c r="AN99" s="158">
        <f t="shared" si="21"/>
        <v>133.20000000000002</v>
      </c>
    </row>
    <row r="100" spans="1:40" ht="16.5" hidden="1" thickBot="1" x14ac:dyDescent="0.3">
      <c r="A100" s="414"/>
      <c r="B100" s="415"/>
      <c r="C100" s="415"/>
      <c r="D100" s="415"/>
      <c r="E100" s="415"/>
      <c r="F100" s="415"/>
      <c r="G100" s="415"/>
      <c r="H100" s="416"/>
      <c r="I100" s="455"/>
      <c r="J100" s="458"/>
      <c r="K100" s="439"/>
      <c r="L100" s="461"/>
      <c r="M100" s="455"/>
      <c r="N100" s="458"/>
      <c r="O100" s="439"/>
      <c r="P100" s="464"/>
      <c r="T100" s="88" t="s">
        <v>220</v>
      </c>
      <c r="U100" s="89" t="s">
        <v>221</v>
      </c>
      <c r="V100" s="141" t="s">
        <v>0</v>
      </c>
      <c r="W100" s="399">
        <v>142.53</v>
      </c>
      <c r="X100" s="401"/>
      <c r="Y100" s="142" t="s">
        <v>220</v>
      </c>
      <c r="Z100" s="89" t="s">
        <v>221</v>
      </c>
      <c r="AA100" s="90" t="s">
        <v>0</v>
      </c>
      <c r="AC100" s="193">
        <v>13</v>
      </c>
      <c r="AD100" s="98"/>
      <c r="AE100" s="97">
        <v>43537</v>
      </c>
      <c r="AF100" s="98" t="s">
        <v>169</v>
      </c>
      <c r="AG100" s="98" t="s">
        <v>230</v>
      </c>
      <c r="AH100" s="98" t="s">
        <v>189</v>
      </c>
      <c r="AI100" s="98">
        <v>0.14000000000000001</v>
      </c>
      <c r="AJ100" s="165">
        <f>23.4*2</f>
        <v>46.8</v>
      </c>
      <c r="AK100" s="98">
        <v>3</v>
      </c>
      <c r="AL100" s="154">
        <f t="shared" si="19"/>
        <v>19.656000000000002</v>
      </c>
      <c r="AM100" s="154">
        <f t="shared" si="20"/>
        <v>6.5520000000000005</v>
      </c>
      <c r="AN100" s="158">
        <f t="shared" si="21"/>
        <v>13.104000000000003</v>
      </c>
    </row>
    <row r="101" spans="1:40" ht="19.5" hidden="1" thickBot="1" x14ac:dyDescent="0.3">
      <c r="A101" s="396" t="s">
        <v>212</v>
      </c>
      <c r="B101" s="397"/>
      <c r="C101" s="397"/>
      <c r="D101" s="397"/>
      <c r="E101" s="397"/>
      <c r="F101" s="397"/>
      <c r="G101" s="397"/>
      <c r="H101" s="398"/>
      <c r="I101" s="481" t="s">
        <v>207</v>
      </c>
      <c r="J101" s="482"/>
      <c r="K101" s="482"/>
      <c r="L101" s="482"/>
      <c r="M101" s="482"/>
      <c r="N101" s="482"/>
      <c r="O101" s="482"/>
      <c r="P101" s="483"/>
      <c r="T101" s="102">
        <v>7422</v>
      </c>
      <c r="U101" s="103">
        <v>1452</v>
      </c>
      <c r="V101" s="140">
        <f>T101+U101</f>
        <v>8874</v>
      </c>
      <c r="W101" s="405"/>
      <c r="X101" s="407"/>
      <c r="Y101" s="133">
        <f>W100/T101</f>
        <v>1.9203718674211803E-2</v>
      </c>
      <c r="Z101" s="133">
        <f>W100/U101</f>
        <v>9.8161157024793388E-2</v>
      </c>
      <c r="AA101" s="133">
        <f>W100/V101</f>
        <v>1.6061528059499661E-2</v>
      </c>
      <c r="AC101" s="193">
        <v>14</v>
      </c>
      <c r="AD101" s="98"/>
      <c r="AE101" s="97">
        <v>43537</v>
      </c>
      <c r="AF101" s="98" t="s">
        <v>169</v>
      </c>
      <c r="AG101" s="98" t="s">
        <v>243</v>
      </c>
      <c r="AH101" s="98" t="s">
        <v>255</v>
      </c>
      <c r="AI101" s="98">
        <v>0.23</v>
      </c>
      <c r="AJ101" s="165">
        <f>32.1*2</f>
        <v>64.2</v>
      </c>
      <c r="AK101" s="98">
        <v>2</v>
      </c>
      <c r="AL101" s="154">
        <f t="shared" si="19"/>
        <v>29.532000000000004</v>
      </c>
      <c r="AM101" s="154">
        <f t="shared" si="20"/>
        <v>14.766000000000002</v>
      </c>
      <c r="AN101" s="158">
        <f t="shared" si="21"/>
        <v>14.766000000000002</v>
      </c>
    </row>
    <row r="102" spans="1:40" ht="16.5" hidden="1" thickBot="1" x14ac:dyDescent="0.3">
      <c r="A102" s="505"/>
      <c r="B102" s="506"/>
      <c r="C102" s="506"/>
      <c r="D102" s="506"/>
      <c r="E102" s="506"/>
      <c r="F102" s="506"/>
      <c r="G102" s="506"/>
      <c r="H102" s="507"/>
      <c r="I102" s="448">
        <f>P98-L98</f>
        <v>0</v>
      </c>
      <c r="J102" s="449"/>
      <c r="K102" s="449"/>
      <c r="L102" s="449"/>
      <c r="M102" s="449"/>
      <c r="N102" s="449"/>
      <c r="O102" s="449"/>
      <c r="P102" s="471"/>
      <c r="T102" s="423" t="s">
        <v>182</v>
      </c>
      <c r="U102" s="424"/>
      <c r="V102" s="424"/>
      <c r="W102" s="424"/>
      <c r="X102" s="490"/>
      <c r="Y102" s="490"/>
      <c r="Z102" s="490"/>
      <c r="AA102" s="491"/>
      <c r="AC102" s="193">
        <v>15</v>
      </c>
      <c r="AD102" s="98"/>
      <c r="AE102" s="97">
        <v>43904</v>
      </c>
      <c r="AF102" s="98" t="s">
        <v>169</v>
      </c>
      <c r="AG102" s="98" t="s">
        <v>256</v>
      </c>
      <c r="AH102" s="98" t="s">
        <v>189</v>
      </c>
      <c r="AI102" s="98">
        <v>0.14000000000000001</v>
      </c>
      <c r="AJ102" s="165">
        <f>23.8*2</f>
        <v>47.6</v>
      </c>
      <c r="AK102" s="98">
        <v>2</v>
      </c>
      <c r="AL102" s="154">
        <f t="shared" si="19"/>
        <v>13.328000000000001</v>
      </c>
      <c r="AM102" s="154">
        <f t="shared" si="20"/>
        <v>6.6640000000000006</v>
      </c>
      <c r="AN102" s="158">
        <f t="shared" si="21"/>
        <v>6.6640000000000006</v>
      </c>
    </row>
    <row r="103" spans="1:40" ht="16.5" hidden="1" thickBot="1" x14ac:dyDescent="0.3">
      <c r="A103" s="508"/>
      <c r="B103" s="509"/>
      <c r="C103" s="509"/>
      <c r="D103" s="509"/>
      <c r="E103" s="509"/>
      <c r="F103" s="509"/>
      <c r="G103" s="509"/>
      <c r="H103" s="510"/>
      <c r="I103" s="477"/>
      <c r="J103" s="474"/>
      <c r="K103" s="474"/>
      <c r="L103" s="474"/>
      <c r="M103" s="474"/>
      <c r="N103" s="474"/>
      <c r="O103" s="474"/>
      <c r="P103" s="475"/>
      <c r="T103" s="408"/>
      <c r="U103" s="409"/>
      <c r="V103" s="409"/>
      <c r="W103" s="409"/>
      <c r="X103" s="409"/>
      <c r="Y103" s="409"/>
      <c r="Z103" s="409"/>
      <c r="AA103" s="410"/>
      <c r="AC103" s="193">
        <v>16</v>
      </c>
      <c r="AD103" s="98"/>
      <c r="AE103" s="97">
        <v>43546</v>
      </c>
      <c r="AF103" s="98" t="s">
        <v>169</v>
      </c>
      <c r="AG103" s="98" t="s">
        <v>241</v>
      </c>
      <c r="AH103" s="98" t="s">
        <v>252</v>
      </c>
      <c r="AI103" s="98">
        <v>0.36</v>
      </c>
      <c r="AJ103" s="165">
        <f>129*2</f>
        <v>258</v>
      </c>
      <c r="AK103" s="98">
        <v>6</v>
      </c>
      <c r="AL103" s="154">
        <f t="shared" si="19"/>
        <v>557.28</v>
      </c>
      <c r="AM103" s="154">
        <f t="shared" si="20"/>
        <v>92.88</v>
      </c>
      <c r="AN103" s="158">
        <f t="shared" si="21"/>
        <v>464.4</v>
      </c>
    </row>
    <row r="104" spans="1:40" ht="16.5" hidden="1" thickBot="1" x14ac:dyDescent="0.3">
      <c r="A104" s="396" t="s">
        <v>215</v>
      </c>
      <c r="B104" s="397"/>
      <c r="C104" s="397"/>
      <c r="D104" s="397"/>
      <c r="E104" s="397"/>
      <c r="F104" s="397"/>
      <c r="G104" s="397"/>
      <c r="H104" s="398"/>
      <c r="I104" s="396" t="s">
        <v>204</v>
      </c>
      <c r="J104" s="397"/>
      <c r="K104" s="397"/>
      <c r="L104" s="397"/>
      <c r="M104" s="397"/>
      <c r="N104" s="397"/>
      <c r="O104" s="397"/>
      <c r="P104" s="398"/>
      <c r="T104" s="411"/>
      <c r="U104" s="412"/>
      <c r="V104" s="412"/>
      <c r="W104" s="412"/>
      <c r="X104" s="412"/>
      <c r="Y104" s="412"/>
      <c r="Z104" s="412"/>
      <c r="AA104" s="413"/>
      <c r="AC104" s="193">
        <v>17</v>
      </c>
      <c r="AD104" s="98"/>
      <c r="AE104" s="97">
        <v>43557</v>
      </c>
      <c r="AF104" s="98" t="s">
        <v>169</v>
      </c>
      <c r="AG104" s="98" t="s">
        <v>243</v>
      </c>
      <c r="AH104" s="98" t="s">
        <v>252</v>
      </c>
      <c r="AI104" s="98">
        <v>0.36</v>
      </c>
      <c r="AJ104" s="165">
        <f>32.1*2</f>
        <v>64.2</v>
      </c>
      <c r="AK104" s="98">
        <v>3</v>
      </c>
      <c r="AL104" s="154">
        <f t="shared" si="19"/>
        <v>69.336000000000013</v>
      </c>
      <c r="AM104" s="154">
        <f t="shared" si="20"/>
        <v>23.112000000000002</v>
      </c>
      <c r="AN104" s="158">
        <f t="shared" si="21"/>
        <v>46.224000000000011</v>
      </c>
    </row>
    <row r="105" spans="1:40" ht="16.5" hidden="1" thickBot="1" x14ac:dyDescent="0.3">
      <c r="A105" s="492" t="s">
        <v>216</v>
      </c>
      <c r="B105" s="493"/>
      <c r="C105" s="494"/>
      <c r="D105" s="492" t="s">
        <v>217</v>
      </c>
      <c r="E105" s="495"/>
      <c r="F105" s="487" t="s">
        <v>218</v>
      </c>
      <c r="G105" s="488"/>
      <c r="H105" s="489"/>
      <c r="I105" s="496" t="s">
        <v>179</v>
      </c>
      <c r="J105" s="497"/>
      <c r="K105" s="497"/>
      <c r="L105" s="498"/>
      <c r="M105" s="499" t="s">
        <v>208</v>
      </c>
      <c r="N105" s="500"/>
      <c r="O105" s="500"/>
      <c r="P105" s="501"/>
      <c r="T105" s="411"/>
      <c r="U105" s="412"/>
      <c r="V105" s="412"/>
      <c r="W105" s="412"/>
      <c r="X105" s="412"/>
      <c r="Y105" s="412"/>
      <c r="Z105" s="412"/>
      <c r="AA105" s="413"/>
      <c r="AC105" s="193">
        <v>18</v>
      </c>
      <c r="AD105" s="98"/>
      <c r="AE105" s="97">
        <v>43926</v>
      </c>
      <c r="AF105" s="98" t="s">
        <v>169</v>
      </c>
      <c r="AG105" s="98" t="s">
        <v>241</v>
      </c>
      <c r="AH105" s="98" t="s">
        <v>257</v>
      </c>
      <c r="AI105" s="98">
        <v>0.36</v>
      </c>
      <c r="AJ105" s="165">
        <f>129*2</f>
        <v>258</v>
      </c>
      <c r="AK105" s="98">
        <v>8</v>
      </c>
      <c r="AL105" s="154">
        <f t="shared" si="19"/>
        <v>743.04</v>
      </c>
      <c r="AM105" s="154">
        <f t="shared" si="20"/>
        <v>92.88</v>
      </c>
      <c r="AN105" s="158">
        <f t="shared" si="21"/>
        <v>650.16</v>
      </c>
    </row>
    <row r="106" spans="1:40" hidden="1" x14ac:dyDescent="0.25">
      <c r="A106" s="88" t="s">
        <v>220</v>
      </c>
      <c r="B106" s="89" t="s">
        <v>221</v>
      </c>
      <c r="C106" s="90" t="s">
        <v>0</v>
      </c>
      <c r="D106" s="134"/>
      <c r="E106" s="135"/>
      <c r="F106" s="136" t="s">
        <v>220</v>
      </c>
      <c r="G106" s="137" t="s">
        <v>221</v>
      </c>
      <c r="H106" s="138" t="s">
        <v>0</v>
      </c>
      <c r="I106" s="448" t="s">
        <v>210</v>
      </c>
      <c r="J106" s="449"/>
      <c r="K106" s="449" t="s">
        <v>197</v>
      </c>
      <c r="L106" s="471"/>
      <c r="M106" s="448" t="e">
        <f>(I102/I107)*1000</f>
        <v>#DIV/0!</v>
      </c>
      <c r="N106" s="449"/>
      <c r="O106" s="449"/>
      <c r="P106" s="471"/>
      <c r="T106" s="411"/>
      <c r="U106" s="412"/>
      <c r="V106" s="412"/>
      <c r="W106" s="412"/>
      <c r="X106" s="412"/>
      <c r="Y106" s="412"/>
      <c r="Z106" s="412"/>
      <c r="AA106" s="413"/>
      <c r="AC106" s="193">
        <v>19</v>
      </c>
      <c r="AD106" s="98"/>
      <c r="AE106" s="97">
        <v>43564</v>
      </c>
      <c r="AF106" s="98" t="s">
        <v>169</v>
      </c>
      <c r="AG106" s="98" t="s">
        <v>243</v>
      </c>
      <c r="AH106" s="98" t="s">
        <v>248</v>
      </c>
      <c r="AI106" s="98">
        <v>0.33</v>
      </c>
      <c r="AJ106" s="165">
        <f>32.1*2</f>
        <v>64.2</v>
      </c>
      <c r="AK106" s="98">
        <v>2</v>
      </c>
      <c r="AL106" s="154">
        <f t="shared" si="19"/>
        <v>42.372000000000007</v>
      </c>
      <c r="AM106" s="154">
        <f t="shared" si="20"/>
        <v>21.186000000000003</v>
      </c>
      <c r="AN106" s="158">
        <f t="shared" si="21"/>
        <v>21.186000000000003</v>
      </c>
    </row>
    <row r="107" spans="1:40" ht="19.5" hidden="1" thickBot="1" x14ac:dyDescent="0.3">
      <c r="A107" s="102"/>
      <c r="B107" s="103"/>
      <c r="C107" s="104">
        <f>A107+B107</f>
        <v>0</v>
      </c>
      <c r="D107" s="139"/>
      <c r="E107" s="140"/>
      <c r="F107" s="123" t="e">
        <f>$D$31/A107</f>
        <v>#DIV/0!</v>
      </c>
      <c r="G107" s="124" t="e">
        <f>$D$31/B107</f>
        <v>#DIV/0!</v>
      </c>
      <c r="H107" s="129" t="e">
        <f>$D$31/C107</f>
        <v>#DIV/0!</v>
      </c>
      <c r="I107" s="477"/>
      <c r="J107" s="474"/>
      <c r="K107" s="474" t="s">
        <v>211</v>
      </c>
      <c r="L107" s="475"/>
      <c r="M107" s="477"/>
      <c r="N107" s="474"/>
      <c r="O107" s="474"/>
      <c r="P107" s="475"/>
      <c r="T107" s="411"/>
      <c r="U107" s="412"/>
      <c r="V107" s="412"/>
      <c r="W107" s="412"/>
      <c r="X107" s="412"/>
      <c r="Y107" s="412"/>
      <c r="Z107" s="412"/>
      <c r="AA107" s="413"/>
      <c r="AC107" s="193">
        <v>20</v>
      </c>
      <c r="AD107" s="98"/>
      <c r="AE107" s="97">
        <v>43580</v>
      </c>
      <c r="AF107" s="98" t="s">
        <v>169</v>
      </c>
      <c r="AG107" s="98" t="s">
        <v>253</v>
      </c>
      <c r="AH107" s="98" t="s">
        <v>258</v>
      </c>
      <c r="AI107" s="98">
        <v>0.38</v>
      </c>
      <c r="AJ107" s="165">
        <f t="shared" ref="AJ107:AJ108" si="25">148*2</f>
        <v>296</v>
      </c>
      <c r="AK107" s="98">
        <v>3</v>
      </c>
      <c r="AL107" s="154">
        <f t="shared" si="19"/>
        <v>337.44</v>
      </c>
      <c r="AM107" s="154">
        <f t="shared" si="20"/>
        <v>112.48</v>
      </c>
      <c r="AN107" s="158">
        <f t="shared" si="21"/>
        <v>224.95999999999998</v>
      </c>
    </row>
    <row r="108" spans="1:40" ht="16.5" hidden="1" thickBot="1" x14ac:dyDescent="0.3">
      <c r="T108" s="414"/>
      <c r="U108" s="415"/>
      <c r="V108" s="415"/>
      <c r="W108" s="415"/>
      <c r="X108" s="415"/>
      <c r="Y108" s="415"/>
      <c r="Z108" s="415"/>
      <c r="AA108" s="416"/>
      <c r="AC108" s="193">
        <v>21</v>
      </c>
      <c r="AD108" s="98"/>
      <c r="AE108" s="97">
        <v>43581</v>
      </c>
      <c r="AF108" s="98" t="s">
        <v>169</v>
      </c>
      <c r="AG108" s="98" t="s">
        <v>253</v>
      </c>
      <c r="AH108" s="98" t="s">
        <v>257</v>
      </c>
      <c r="AI108" s="98">
        <v>0.36</v>
      </c>
      <c r="AJ108" s="165">
        <f t="shared" si="25"/>
        <v>296</v>
      </c>
      <c r="AK108" s="98">
        <v>3</v>
      </c>
      <c r="AL108" s="154">
        <f t="shared" si="19"/>
        <v>319.68</v>
      </c>
      <c r="AM108" s="154">
        <f t="shared" si="20"/>
        <v>106.56</v>
      </c>
      <c r="AN108" s="158">
        <f t="shared" si="21"/>
        <v>213.12</v>
      </c>
    </row>
    <row r="109" spans="1:40" ht="16.5" hidden="1" thickBot="1" x14ac:dyDescent="0.3">
      <c r="T109" s="423" t="s">
        <v>212</v>
      </c>
      <c r="U109" s="424"/>
      <c r="V109" s="424"/>
      <c r="W109" s="424"/>
      <c r="X109" s="490"/>
      <c r="Y109" s="490"/>
      <c r="Z109" s="490"/>
      <c r="AA109" s="491"/>
      <c r="AC109" s="193">
        <v>22</v>
      </c>
      <c r="AD109" s="98"/>
      <c r="AE109" s="97">
        <v>43581</v>
      </c>
      <c r="AF109" s="98" t="s">
        <v>169</v>
      </c>
      <c r="AG109" s="98" t="s">
        <v>241</v>
      </c>
      <c r="AH109" s="98" t="s">
        <v>258</v>
      </c>
      <c r="AI109" s="98">
        <v>0.38</v>
      </c>
      <c r="AJ109" s="165">
        <f>129*2</f>
        <v>258</v>
      </c>
      <c r="AK109" s="98">
        <v>2</v>
      </c>
      <c r="AL109" s="154">
        <f t="shared" si="19"/>
        <v>196.08</v>
      </c>
      <c r="AM109" s="154">
        <f t="shared" si="20"/>
        <v>98.04</v>
      </c>
      <c r="AN109" s="158">
        <f t="shared" si="21"/>
        <v>98.04</v>
      </c>
    </row>
    <row r="110" spans="1:40" ht="16.5" hidden="1" thickBot="1" x14ac:dyDescent="0.3">
      <c r="A110" s="390">
        <v>2021</v>
      </c>
      <c r="B110" s="391"/>
      <c r="C110" s="391"/>
      <c r="D110" s="391"/>
      <c r="E110" s="391"/>
      <c r="F110" s="391"/>
      <c r="G110" s="391"/>
      <c r="H110" s="391"/>
      <c r="I110" s="391"/>
      <c r="J110" s="391"/>
      <c r="K110" s="391"/>
      <c r="L110" s="391"/>
      <c r="M110" s="391"/>
      <c r="N110" s="391"/>
      <c r="O110" s="391"/>
      <c r="P110" s="392"/>
      <c r="T110" s="557" t="s">
        <v>259</v>
      </c>
      <c r="U110" s="558"/>
      <c r="V110" s="558"/>
      <c r="W110" s="558"/>
      <c r="X110" s="558"/>
      <c r="Y110" s="558"/>
      <c r="Z110" s="558"/>
      <c r="AA110" s="559"/>
      <c r="AC110" s="193">
        <v>23</v>
      </c>
      <c r="AD110" s="98"/>
      <c r="AE110" s="97">
        <v>43581</v>
      </c>
      <c r="AF110" s="98" t="s">
        <v>169</v>
      </c>
      <c r="AG110" s="98" t="s">
        <v>230</v>
      </c>
      <c r="AH110" s="98" t="s">
        <v>260</v>
      </c>
      <c r="AI110" s="98">
        <v>0.34</v>
      </c>
      <c r="AJ110" s="165">
        <f>23.4*2</f>
        <v>46.8</v>
      </c>
      <c r="AK110" s="98">
        <v>2</v>
      </c>
      <c r="AL110" s="154">
        <f t="shared" si="19"/>
        <v>31.824000000000002</v>
      </c>
      <c r="AM110" s="154">
        <f t="shared" si="20"/>
        <v>15.912000000000001</v>
      </c>
      <c r="AN110" s="158">
        <f t="shared" si="21"/>
        <v>15.912000000000001</v>
      </c>
    </row>
    <row r="111" spans="1:40" ht="16.5" hidden="1" thickBot="1" x14ac:dyDescent="0.3">
      <c r="A111" s="396" t="s">
        <v>151</v>
      </c>
      <c r="B111" s="397"/>
      <c r="C111" s="397"/>
      <c r="D111" s="397"/>
      <c r="E111" s="397"/>
      <c r="F111" s="397"/>
      <c r="G111" s="397"/>
      <c r="H111" s="398"/>
      <c r="I111" s="396" t="s">
        <v>152</v>
      </c>
      <c r="J111" s="397"/>
      <c r="K111" s="397"/>
      <c r="L111" s="397"/>
      <c r="M111" s="397"/>
      <c r="N111" s="397"/>
      <c r="O111" s="397"/>
      <c r="P111" s="398"/>
      <c r="T111" s="560"/>
      <c r="U111" s="561"/>
      <c r="V111" s="561"/>
      <c r="W111" s="561"/>
      <c r="X111" s="561"/>
      <c r="Y111" s="561"/>
      <c r="Z111" s="561"/>
      <c r="AA111" s="562"/>
      <c r="AC111" s="193">
        <v>24</v>
      </c>
      <c r="AD111" s="98"/>
      <c r="AE111" s="97">
        <v>43592</v>
      </c>
      <c r="AF111" s="98" t="s">
        <v>169</v>
      </c>
      <c r="AG111" s="98" t="s">
        <v>241</v>
      </c>
      <c r="AH111" s="98" t="s">
        <v>258</v>
      </c>
      <c r="AI111" s="98">
        <v>0.38</v>
      </c>
      <c r="AJ111" s="165">
        <f>129*2</f>
        <v>258</v>
      </c>
      <c r="AK111" s="98">
        <v>6</v>
      </c>
      <c r="AL111" s="154">
        <f t="shared" si="19"/>
        <v>588.24</v>
      </c>
      <c r="AM111" s="154">
        <f t="shared" si="20"/>
        <v>98.04</v>
      </c>
      <c r="AN111" s="158">
        <f t="shared" si="21"/>
        <v>490.2</v>
      </c>
    </row>
    <row r="112" spans="1:40" hidden="1" x14ac:dyDescent="0.25">
      <c r="A112" s="399"/>
      <c r="B112" s="400"/>
      <c r="C112" s="400"/>
      <c r="D112" s="400"/>
      <c r="E112" s="400"/>
      <c r="F112" s="400"/>
      <c r="G112" s="400"/>
      <c r="H112" s="401"/>
      <c r="I112" s="399"/>
      <c r="J112" s="400"/>
      <c r="K112" s="400"/>
      <c r="L112" s="400"/>
      <c r="M112" s="400"/>
      <c r="N112" s="400"/>
      <c r="O112" s="400"/>
      <c r="P112" s="401"/>
      <c r="AC112" s="193">
        <v>25</v>
      </c>
      <c r="AD112" s="98"/>
      <c r="AE112" s="97">
        <v>43594</v>
      </c>
      <c r="AF112" s="98" t="s">
        <v>169</v>
      </c>
      <c r="AG112" s="98" t="s">
        <v>243</v>
      </c>
      <c r="AH112" s="98" t="s">
        <v>261</v>
      </c>
      <c r="AI112" s="98">
        <v>0.39</v>
      </c>
      <c r="AJ112" s="165">
        <f t="shared" ref="AJ112:AJ113" si="26">32.1*2</f>
        <v>64.2</v>
      </c>
      <c r="AK112" s="98">
        <v>2</v>
      </c>
      <c r="AL112" s="154">
        <f t="shared" si="19"/>
        <v>50.076000000000001</v>
      </c>
      <c r="AM112" s="154">
        <f t="shared" si="20"/>
        <v>25.038</v>
      </c>
      <c r="AN112" s="158">
        <f t="shared" si="21"/>
        <v>25.038</v>
      </c>
    </row>
    <row r="113" spans="1:40" ht="16.5" hidden="1" thickBot="1" x14ac:dyDescent="0.3">
      <c r="A113" s="402"/>
      <c r="B113" s="403"/>
      <c r="C113" s="403"/>
      <c r="D113" s="403"/>
      <c r="E113" s="403"/>
      <c r="F113" s="403"/>
      <c r="G113" s="403"/>
      <c r="H113" s="404"/>
      <c r="I113" s="402"/>
      <c r="J113" s="403"/>
      <c r="K113" s="403"/>
      <c r="L113" s="403"/>
      <c r="M113" s="403"/>
      <c r="N113" s="403"/>
      <c r="O113" s="403"/>
      <c r="P113" s="404"/>
      <c r="AC113" s="193">
        <v>26</v>
      </c>
      <c r="AD113" s="98"/>
      <c r="AE113" s="97">
        <v>43599</v>
      </c>
      <c r="AF113" s="98" t="s">
        <v>169</v>
      </c>
      <c r="AG113" s="98" t="s">
        <v>243</v>
      </c>
      <c r="AH113" s="98" t="s">
        <v>194</v>
      </c>
      <c r="AI113" s="98">
        <v>0.15</v>
      </c>
      <c r="AJ113" s="165">
        <f t="shared" si="26"/>
        <v>64.2</v>
      </c>
      <c r="AK113" s="98">
        <v>2</v>
      </c>
      <c r="AL113" s="154">
        <f t="shared" si="19"/>
        <v>19.260000000000002</v>
      </c>
      <c r="AM113" s="154">
        <f t="shared" si="20"/>
        <v>9.6300000000000008</v>
      </c>
      <c r="AN113" s="158">
        <f t="shared" si="21"/>
        <v>9.6300000000000008</v>
      </c>
    </row>
    <row r="114" spans="1:40" ht="16.5" hidden="1" thickBot="1" x14ac:dyDescent="0.3">
      <c r="A114" s="402"/>
      <c r="B114" s="403"/>
      <c r="C114" s="403"/>
      <c r="D114" s="403"/>
      <c r="E114" s="403"/>
      <c r="F114" s="403"/>
      <c r="G114" s="403"/>
      <c r="H114" s="404"/>
      <c r="I114" s="402"/>
      <c r="J114" s="403"/>
      <c r="K114" s="403"/>
      <c r="L114" s="403"/>
      <c r="M114" s="403"/>
      <c r="N114" s="403"/>
      <c r="O114" s="403"/>
      <c r="P114" s="404"/>
      <c r="T114" s="393">
        <v>2021</v>
      </c>
      <c r="U114" s="394"/>
      <c r="V114" s="394"/>
      <c r="W114" s="394"/>
      <c r="X114" s="394"/>
      <c r="Y114" s="394"/>
      <c r="Z114" s="394"/>
      <c r="AA114" s="395"/>
      <c r="AC114" s="193">
        <v>27</v>
      </c>
      <c r="AD114" s="98"/>
      <c r="AE114" s="97">
        <v>43616</v>
      </c>
      <c r="AF114" s="98" t="s">
        <v>169</v>
      </c>
      <c r="AG114" s="98" t="s">
        <v>241</v>
      </c>
      <c r="AH114" s="98" t="s">
        <v>257</v>
      </c>
      <c r="AI114" s="98">
        <v>0.36</v>
      </c>
      <c r="AJ114" s="165">
        <f>129*2</f>
        <v>258</v>
      </c>
      <c r="AK114" s="98">
        <v>6</v>
      </c>
      <c r="AL114" s="154">
        <f t="shared" si="19"/>
        <v>557.28</v>
      </c>
      <c r="AM114" s="154">
        <f t="shared" si="20"/>
        <v>92.88</v>
      </c>
      <c r="AN114" s="158">
        <f t="shared" si="21"/>
        <v>464.4</v>
      </c>
    </row>
    <row r="115" spans="1:40" ht="16.5" hidden="1" thickBot="1" x14ac:dyDescent="0.3">
      <c r="A115" s="405"/>
      <c r="B115" s="406"/>
      <c r="C115" s="406"/>
      <c r="D115" s="406"/>
      <c r="E115" s="406"/>
      <c r="F115" s="406"/>
      <c r="G115" s="406"/>
      <c r="H115" s="407"/>
      <c r="I115" s="405"/>
      <c r="J115" s="406"/>
      <c r="K115" s="406"/>
      <c r="L115" s="406"/>
      <c r="M115" s="406"/>
      <c r="N115" s="406"/>
      <c r="O115" s="406"/>
      <c r="P115" s="407"/>
      <c r="T115" s="396" t="s">
        <v>151</v>
      </c>
      <c r="U115" s="397"/>
      <c r="V115" s="397"/>
      <c r="W115" s="397"/>
      <c r="X115" s="396" t="s">
        <v>152</v>
      </c>
      <c r="Y115" s="397"/>
      <c r="Z115" s="397"/>
      <c r="AA115" s="398"/>
      <c r="AC115" s="193">
        <v>28</v>
      </c>
      <c r="AD115" s="98"/>
      <c r="AE115" s="97">
        <v>43620</v>
      </c>
      <c r="AF115" s="98" t="s">
        <v>169</v>
      </c>
      <c r="AG115" s="98" t="s">
        <v>243</v>
      </c>
      <c r="AH115" s="98" t="s">
        <v>260</v>
      </c>
      <c r="AI115" s="98">
        <v>0.34</v>
      </c>
      <c r="AJ115" s="165">
        <f>23.8*2</f>
        <v>47.6</v>
      </c>
      <c r="AK115" s="98">
        <v>3</v>
      </c>
      <c r="AL115" s="154">
        <f t="shared" si="19"/>
        <v>48.552000000000007</v>
      </c>
      <c r="AM115" s="154">
        <f t="shared" si="20"/>
        <v>16.184000000000001</v>
      </c>
      <c r="AN115" s="158">
        <f t="shared" si="21"/>
        <v>32.368000000000009</v>
      </c>
    </row>
    <row r="116" spans="1:40" ht="16.5" hidden="1" thickBot="1" x14ac:dyDescent="0.3">
      <c r="A116" s="396" t="s">
        <v>171</v>
      </c>
      <c r="B116" s="397"/>
      <c r="C116" s="397"/>
      <c r="D116" s="397"/>
      <c r="E116" s="397"/>
      <c r="F116" s="397"/>
      <c r="G116" s="397"/>
      <c r="H116" s="398"/>
      <c r="I116" s="396" t="s">
        <v>172</v>
      </c>
      <c r="J116" s="397"/>
      <c r="K116" s="397"/>
      <c r="L116" s="397"/>
      <c r="M116" s="397"/>
      <c r="N116" s="397"/>
      <c r="O116" s="397"/>
      <c r="P116" s="398"/>
      <c r="T116" s="557"/>
      <c r="U116" s="558"/>
      <c r="V116" s="558"/>
      <c r="W116" s="559"/>
      <c r="X116" s="557"/>
      <c r="Y116" s="558"/>
      <c r="Z116" s="558"/>
      <c r="AA116" s="559"/>
      <c r="AC116" s="193">
        <v>29</v>
      </c>
      <c r="AD116" s="98"/>
      <c r="AE116" s="97">
        <v>43620</v>
      </c>
      <c r="AF116" s="98" t="s">
        <v>169</v>
      </c>
      <c r="AG116" s="98" t="s">
        <v>243</v>
      </c>
      <c r="AH116" s="98" t="s">
        <v>258</v>
      </c>
      <c r="AI116" s="98">
        <v>0.38</v>
      </c>
      <c r="AJ116" s="165">
        <f t="shared" ref="AJ116" si="27">32.1*2</f>
        <v>64.2</v>
      </c>
      <c r="AK116" s="98">
        <v>2</v>
      </c>
      <c r="AL116" s="154">
        <f t="shared" si="19"/>
        <v>48.792000000000002</v>
      </c>
      <c r="AM116" s="154">
        <f t="shared" si="20"/>
        <v>24.396000000000001</v>
      </c>
      <c r="AN116" s="158">
        <f t="shared" si="21"/>
        <v>24.396000000000001</v>
      </c>
    </row>
    <row r="117" spans="1:40" ht="16.5" hidden="1" thickBot="1" x14ac:dyDescent="0.3">
      <c r="A117" s="411"/>
      <c r="B117" s="412"/>
      <c r="C117" s="412"/>
      <c r="D117" s="412"/>
      <c r="E117" s="412"/>
      <c r="F117" s="412"/>
      <c r="G117" s="412"/>
      <c r="H117" s="412"/>
      <c r="I117" s="396" t="s">
        <v>174</v>
      </c>
      <c r="J117" s="397"/>
      <c r="K117" s="397"/>
      <c r="L117" s="398"/>
      <c r="M117" s="396" t="s">
        <v>175</v>
      </c>
      <c r="N117" s="397"/>
      <c r="O117" s="397"/>
      <c r="P117" s="398"/>
      <c r="T117" s="563"/>
      <c r="U117" s="564"/>
      <c r="V117" s="564"/>
      <c r="W117" s="565"/>
      <c r="X117" s="563"/>
      <c r="Y117" s="564"/>
      <c r="Z117" s="564"/>
      <c r="AA117" s="565"/>
      <c r="AC117" s="195">
        <v>30</v>
      </c>
      <c r="AD117" s="196"/>
      <c r="AE117" s="197">
        <v>43635</v>
      </c>
      <c r="AF117" s="196" t="s">
        <v>169</v>
      </c>
      <c r="AG117" s="196" t="s">
        <v>253</v>
      </c>
      <c r="AH117" s="196" t="s">
        <v>262</v>
      </c>
      <c r="AI117" s="98">
        <v>0.36</v>
      </c>
      <c r="AJ117" s="165">
        <f>148*2</f>
        <v>296</v>
      </c>
      <c r="AK117" s="196">
        <v>4</v>
      </c>
      <c r="AL117" s="113">
        <f t="shared" si="19"/>
        <v>426.24</v>
      </c>
      <c r="AM117" s="98">
        <f t="shared" si="20"/>
        <v>106.56</v>
      </c>
      <c r="AN117" s="101">
        <f t="shared" si="21"/>
        <v>319.68</v>
      </c>
    </row>
    <row r="118" spans="1:40" s="86" customFormat="1" ht="35.25" hidden="1" thickBot="1" x14ac:dyDescent="0.25">
      <c r="A118" s="396" t="s">
        <v>182</v>
      </c>
      <c r="B118" s="397"/>
      <c r="C118" s="397"/>
      <c r="D118" s="397"/>
      <c r="E118" s="397"/>
      <c r="F118" s="397"/>
      <c r="G118" s="397"/>
      <c r="H118" s="398"/>
      <c r="I118" s="106" t="s">
        <v>162</v>
      </c>
      <c r="J118" s="106" t="s">
        <v>183</v>
      </c>
      <c r="K118" s="106" t="s">
        <v>184</v>
      </c>
      <c r="L118" s="106" t="s">
        <v>185</v>
      </c>
      <c r="M118" s="106" t="s">
        <v>162</v>
      </c>
      <c r="N118" s="106" t="s">
        <v>183</v>
      </c>
      <c r="O118" s="106" t="s">
        <v>184</v>
      </c>
      <c r="P118" s="106" t="s">
        <v>185</v>
      </c>
      <c r="T118" s="563"/>
      <c r="U118" s="564"/>
      <c r="V118" s="564"/>
      <c r="W118" s="565"/>
      <c r="X118" s="563"/>
      <c r="Y118" s="564"/>
      <c r="Z118" s="564"/>
      <c r="AA118" s="565"/>
      <c r="AC118" s="193">
        <v>31</v>
      </c>
      <c r="AD118" s="98"/>
      <c r="AE118" s="97">
        <v>43704</v>
      </c>
      <c r="AF118" s="98" t="s">
        <v>169</v>
      </c>
      <c r="AG118" s="98" t="s">
        <v>243</v>
      </c>
      <c r="AH118" s="98" t="s">
        <v>246</v>
      </c>
      <c r="AI118" s="98">
        <v>0.61</v>
      </c>
      <c r="AJ118" s="165">
        <f>32.1*2</f>
        <v>64.2</v>
      </c>
      <c r="AK118" s="98">
        <v>2</v>
      </c>
      <c r="AL118" s="98">
        <f t="shared" si="19"/>
        <v>78.323999999999998</v>
      </c>
      <c r="AM118" s="98">
        <f t="shared" si="20"/>
        <v>39.161999999999999</v>
      </c>
      <c r="AN118" s="101">
        <f t="shared" si="21"/>
        <v>39.161999999999999</v>
      </c>
    </row>
    <row r="119" spans="1:40" hidden="1" x14ac:dyDescent="0.25">
      <c r="A119" s="408"/>
      <c r="B119" s="409"/>
      <c r="C119" s="409"/>
      <c r="D119" s="409"/>
      <c r="E119" s="409"/>
      <c r="F119" s="409"/>
      <c r="G119" s="409"/>
      <c r="H119" s="410"/>
      <c r="I119" s="117"/>
      <c r="J119" s="110"/>
      <c r="K119" s="554"/>
      <c r="L119" s="110">
        <f>($K$19*1000)*J119</f>
        <v>0</v>
      </c>
      <c r="M119" s="110"/>
      <c r="N119" s="110"/>
      <c r="O119" s="110"/>
      <c r="P119" s="111">
        <f>(O119*1000)*O119</f>
        <v>0</v>
      </c>
      <c r="T119" s="563"/>
      <c r="U119" s="564"/>
      <c r="V119" s="564"/>
      <c r="W119" s="565"/>
      <c r="X119" s="563"/>
      <c r="Y119" s="564"/>
      <c r="Z119" s="564"/>
      <c r="AA119" s="565"/>
      <c r="AC119" s="198">
        <v>32</v>
      </c>
      <c r="AD119" s="116"/>
      <c r="AE119" s="122">
        <v>43711</v>
      </c>
      <c r="AF119" s="98" t="s">
        <v>169</v>
      </c>
      <c r="AG119" s="98" t="s">
        <v>263</v>
      </c>
      <c r="AH119" s="116" t="s">
        <v>264</v>
      </c>
      <c r="AI119" s="116">
        <v>0.15</v>
      </c>
      <c r="AJ119" s="199">
        <f>23.9*2</f>
        <v>47.8</v>
      </c>
      <c r="AK119" s="98">
        <v>4</v>
      </c>
      <c r="AL119" s="116">
        <f t="shared" si="19"/>
        <v>28.679999999999996</v>
      </c>
      <c r="AM119" s="98">
        <f t="shared" si="20"/>
        <v>7.169999999999999</v>
      </c>
      <c r="AN119" s="101">
        <f t="shared" si="21"/>
        <v>21.509999999999998</v>
      </c>
    </row>
    <row r="120" spans="1:40" hidden="1" x14ac:dyDescent="0.25">
      <c r="A120" s="411"/>
      <c r="B120" s="412"/>
      <c r="C120" s="412"/>
      <c r="D120" s="412"/>
      <c r="E120" s="412"/>
      <c r="F120" s="412"/>
      <c r="G120" s="412"/>
      <c r="H120" s="413"/>
      <c r="I120" s="96"/>
      <c r="J120" s="98"/>
      <c r="K120" s="555"/>
      <c r="L120" s="116">
        <f t="shared" ref="L120:L122" si="28">($K$19*1000)*J120</f>
        <v>0</v>
      </c>
      <c r="M120" s="116"/>
      <c r="N120" s="116"/>
      <c r="O120" s="116"/>
      <c r="P120" s="114">
        <f t="shared" ref="P120:P122" si="29">(O120*1000)*O120</f>
        <v>0</v>
      </c>
      <c r="T120" s="563"/>
      <c r="U120" s="564"/>
      <c r="V120" s="564"/>
      <c r="W120" s="565"/>
      <c r="X120" s="563"/>
      <c r="Y120" s="564"/>
      <c r="Z120" s="564"/>
      <c r="AA120" s="565"/>
      <c r="AC120" s="198">
        <v>33</v>
      </c>
      <c r="AD120" s="116"/>
      <c r="AE120" s="122">
        <v>43711</v>
      </c>
      <c r="AF120" s="98" t="s">
        <v>169</v>
      </c>
      <c r="AG120" s="98" t="s">
        <v>243</v>
      </c>
      <c r="AH120" s="116" t="s">
        <v>258</v>
      </c>
      <c r="AI120" s="98">
        <v>0.38</v>
      </c>
      <c r="AJ120" s="165">
        <f>32.1*2</f>
        <v>64.2</v>
      </c>
      <c r="AK120" s="98">
        <v>4</v>
      </c>
      <c r="AL120" s="116">
        <f t="shared" si="19"/>
        <v>97.584000000000003</v>
      </c>
      <c r="AM120" s="98">
        <f t="shared" si="20"/>
        <v>24.396000000000001</v>
      </c>
      <c r="AN120" s="101">
        <f t="shared" si="21"/>
        <v>73.188000000000002</v>
      </c>
    </row>
    <row r="121" spans="1:40" ht="16.5" hidden="1" thickBot="1" x14ac:dyDescent="0.3">
      <c r="A121" s="411"/>
      <c r="B121" s="412"/>
      <c r="C121" s="412"/>
      <c r="D121" s="412"/>
      <c r="E121" s="412"/>
      <c r="F121" s="412"/>
      <c r="G121" s="412"/>
      <c r="H121" s="413"/>
      <c r="I121" s="118"/>
      <c r="J121" s="105"/>
      <c r="K121" s="555"/>
      <c r="L121" s="116">
        <f t="shared" si="28"/>
        <v>0</v>
      </c>
      <c r="M121" s="116"/>
      <c r="N121" s="116"/>
      <c r="O121" s="116"/>
      <c r="P121" s="114">
        <f t="shared" si="29"/>
        <v>0</v>
      </c>
      <c r="T121" s="560"/>
      <c r="U121" s="561"/>
      <c r="V121" s="561"/>
      <c r="W121" s="562"/>
      <c r="X121" s="560"/>
      <c r="Y121" s="561"/>
      <c r="Z121" s="561"/>
      <c r="AA121" s="562"/>
      <c r="AC121" s="198">
        <v>34</v>
      </c>
      <c r="AD121" s="116"/>
      <c r="AE121" s="122">
        <v>43726</v>
      </c>
      <c r="AF121" s="98" t="s">
        <v>169</v>
      </c>
      <c r="AG121" s="98" t="s">
        <v>241</v>
      </c>
      <c r="AH121" s="116" t="s">
        <v>265</v>
      </c>
      <c r="AI121" s="116">
        <v>0.56000000000000005</v>
      </c>
      <c r="AJ121" s="165">
        <f t="shared" ref="AJ121:AJ122" si="30">129*2</f>
        <v>258</v>
      </c>
      <c r="AK121" s="98">
        <v>2</v>
      </c>
      <c r="AL121" s="116">
        <f t="shared" si="19"/>
        <v>288.96000000000004</v>
      </c>
      <c r="AM121" s="98">
        <f t="shared" si="20"/>
        <v>144.48000000000002</v>
      </c>
      <c r="AN121" s="101">
        <f t="shared" si="21"/>
        <v>144.48000000000002</v>
      </c>
    </row>
    <row r="122" spans="1:40" ht="16.5" hidden="1" thickBot="1" x14ac:dyDescent="0.3">
      <c r="A122" s="411"/>
      <c r="B122" s="412"/>
      <c r="C122" s="412"/>
      <c r="D122" s="412"/>
      <c r="E122" s="412"/>
      <c r="F122" s="412"/>
      <c r="G122" s="412"/>
      <c r="H122" s="413"/>
      <c r="I122" s="123"/>
      <c r="J122" s="124"/>
      <c r="K122" s="556"/>
      <c r="L122" s="126">
        <f t="shared" si="28"/>
        <v>0</v>
      </c>
      <c r="M122" s="126"/>
      <c r="N122" s="126"/>
      <c r="O122" s="126"/>
      <c r="P122" s="132">
        <f t="shared" si="29"/>
        <v>0</v>
      </c>
      <c r="T122" s="423" t="s">
        <v>171</v>
      </c>
      <c r="U122" s="424"/>
      <c r="V122" s="424"/>
      <c r="W122" s="425"/>
      <c r="X122" s="423" t="s">
        <v>172</v>
      </c>
      <c r="Y122" s="424"/>
      <c r="Z122" s="424"/>
      <c r="AA122" s="425"/>
      <c r="AC122" s="198">
        <v>35</v>
      </c>
      <c r="AD122" s="161"/>
      <c r="AE122" s="122">
        <v>43741</v>
      </c>
      <c r="AF122" s="98" t="s">
        <v>169</v>
      </c>
      <c r="AG122" s="98" t="s">
        <v>241</v>
      </c>
      <c r="AH122" s="98" t="s">
        <v>252</v>
      </c>
      <c r="AI122" s="98">
        <v>0.36</v>
      </c>
      <c r="AJ122" s="165">
        <f t="shared" si="30"/>
        <v>258</v>
      </c>
      <c r="AK122" s="98">
        <v>3</v>
      </c>
      <c r="AL122" s="116">
        <f t="shared" si="19"/>
        <v>278.64</v>
      </c>
      <c r="AM122" s="98">
        <f t="shared" si="20"/>
        <v>92.88</v>
      </c>
      <c r="AN122" s="101">
        <f t="shared" si="21"/>
        <v>185.76</v>
      </c>
    </row>
    <row r="123" spans="1:40" ht="16.5" hidden="1" thickBot="1" x14ac:dyDescent="0.3">
      <c r="A123" s="411"/>
      <c r="B123" s="412"/>
      <c r="C123" s="412"/>
      <c r="D123" s="412"/>
      <c r="E123" s="412"/>
      <c r="F123" s="412"/>
      <c r="G123" s="412"/>
      <c r="H123" s="413"/>
      <c r="I123" s="453" t="s">
        <v>0</v>
      </c>
      <c r="J123" s="456">
        <f>SUM(J119:J122)</f>
        <v>0</v>
      </c>
      <c r="K123" s="437" t="s">
        <v>209</v>
      </c>
      <c r="L123" s="459">
        <f>SUM(L119:L122)</f>
        <v>0</v>
      </c>
      <c r="M123" s="453" t="s">
        <v>0</v>
      </c>
      <c r="N123" s="456">
        <f>SUM(N119:N122)</f>
        <v>0</v>
      </c>
      <c r="O123" s="437"/>
      <c r="P123" s="462">
        <f>SUM(P119:P122)</f>
        <v>0</v>
      </c>
      <c r="T123" s="513"/>
      <c r="U123" s="514"/>
      <c r="V123" s="514"/>
      <c r="W123" s="515"/>
      <c r="X123" s="440" t="s">
        <v>192</v>
      </c>
      <c r="Y123" s="441"/>
      <c r="Z123" s="441"/>
      <c r="AA123" s="442"/>
      <c r="AC123" s="198">
        <v>36</v>
      </c>
      <c r="AD123" s="116"/>
      <c r="AE123" s="122">
        <v>43742</v>
      </c>
      <c r="AF123" s="98" t="s">
        <v>169</v>
      </c>
      <c r="AG123" s="98" t="s">
        <v>243</v>
      </c>
      <c r="AH123" s="98" t="s">
        <v>257</v>
      </c>
      <c r="AI123" s="98">
        <v>0.36</v>
      </c>
      <c r="AJ123" s="165">
        <f t="shared" ref="AJ123:AJ127" si="31">32.1*2</f>
        <v>64.2</v>
      </c>
      <c r="AK123" s="98">
        <v>5</v>
      </c>
      <c r="AL123" s="116">
        <f t="shared" si="19"/>
        <v>115.56</v>
      </c>
      <c r="AM123" s="98">
        <f t="shared" si="20"/>
        <v>23.112000000000002</v>
      </c>
      <c r="AN123" s="101">
        <f t="shared" si="21"/>
        <v>92.448000000000008</v>
      </c>
    </row>
    <row r="124" spans="1:40" hidden="1" x14ac:dyDescent="0.25">
      <c r="A124" s="411"/>
      <c r="B124" s="412"/>
      <c r="C124" s="412"/>
      <c r="D124" s="412"/>
      <c r="E124" s="412"/>
      <c r="F124" s="412"/>
      <c r="G124" s="412"/>
      <c r="H124" s="413"/>
      <c r="I124" s="454"/>
      <c r="J124" s="457"/>
      <c r="K124" s="438"/>
      <c r="L124" s="460"/>
      <c r="M124" s="454"/>
      <c r="N124" s="457"/>
      <c r="O124" s="438"/>
      <c r="P124" s="463"/>
      <c r="T124" s="516"/>
      <c r="U124" s="517"/>
      <c r="V124" s="517"/>
      <c r="W124" s="517"/>
      <c r="X124" s="117" t="s">
        <v>196</v>
      </c>
      <c r="Y124" s="111" t="s">
        <v>197</v>
      </c>
      <c r="Z124" s="117" t="s">
        <v>198</v>
      </c>
      <c r="AA124" s="111" t="s">
        <v>197</v>
      </c>
      <c r="AC124" s="198">
        <v>37</v>
      </c>
      <c r="AD124" s="116"/>
      <c r="AE124" s="122">
        <v>43746</v>
      </c>
      <c r="AF124" s="98" t="s">
        <v>169</v>
      </c>
      <c r="AG124" s="98" t="s">
        <v>243</v>
      </c>
      <c r="AH124" s="116" t="s">
        <v>258</v>
      </c>
      <c r="AI124" s="98">
        <v>0.38</v>
      </c>
      <c r="AJ124" s="165">
        <f t="shared" si="31"/>
        <v>64.2</v>
      </c>
      <c r="AK124" s="98">
        <v>2</v>
      </c>
      <c r="AL124" s="116">
        <f>AI125*AJ125*AK125</f>
        <v>42.372000000000007</v>
      </c>
      <c r="AM124" s="98">
        <f>AI125*AJ125</f>
        <v>21.186000000000003</v>
      </c>
      <c r="AN124" s="101">
        <f t="shared" si="21"/>
        <v>21.186000000000003</v>
      </c>
    </row>
    <row r="125" spans="1:40" ht="19.5" hidden="1" thickBot="1" x14ac:dyDescent="0.3">
      <c r="A125" s="414"/>
      <c r="B125" s="415"/>
      <c r="C125" s="415"/>
      <c r="D125" s="415"/>
      <c r="E125" s="415"/>
      <c r="F125" s="415"/>
      <c r="G125" s="415"/>
      <c r="H125" s="416"/>
      <c r="I125" s="455"/>
      <c r="J125" s="458"/>
      <c r="K125" s="439"/>
      <c r="L125" s="461"/>
      <c r="M125" s="455"/>
      <c r="N125" s="458"/>
      <c r="O125" s="439"/>
      <c r="P125" s="464"/>
      <c r="T125" s="516"/>
      <c r="U125" s="517"/>
      <c r="V125" s="517"/>
      <c r="W125" s="517"/>
      <c r="X125" s="120" t="e">
        <f>#REF!</f>
        <v>#REF!</v>
      </c>
      <c r="Y125" s="104" t="s">
        <v>201</v>
      </c>
      <c r="Z125" s="120">
        <f>SUM(AM109:AM131)</f>
        <v>1166.104</v>
      </c>
      <c r="AA125" s="121" t="s">
        <v>202</v>
      </c>
      <c r="AC125" s="198">
        <v>38</v>
      </c>
      <c r="AD125" s="116"/>
      <c r="AE125" s="97">
        <v>43781</v>
      </c>
      <c r="AF125" s="98" t="s">
        <v>169</v>
      </c>
      <c r="AG125" s="98" t="s">
        <v>243</v>
      </c>
      <c r="AH125" s="98" t="s">
        <v>248</v>
      </c>
      <c r="AI125" s="98">
        <v>0.33</v>
      </c>
      <c r="AJ125" s="165">
        <f t="shared" si="31"/>
        <v>64.2</v>
      </c>
      <c r="AK125" s="98">
        <v>2</v>
      </c>
      <c r="AL125" s="116">
        <f>AI126*AJ126*AK126</f>
        <v>73.188000000000002</v>
      </c>
      <c r="AM125" s="98">
        <f>AI126*AJ126</f>
        <v>24.396000000000001</v>
      </c>
      <c r="AN125" s="101">
        <f t="shared" si="21"/>
        <v>48.792000000000002</v>
      </c>
    </row>
    <row r="126" spans="1:40" ht="19.5" hidden="1" thickBot="1" x14ac:dyDescent="0.3">
      <c r="A126" s="396" t="s">
        <v>212</v>
      </c>
      <c r="B126" s="397"/>
      <c r="C126" s="397"/>
      <c r="D126" s="397"/>
      <c r="E126" s="397"/>
      <c r="F126" s="397"/>
      <c r="G126" s="397"/>
      <c r="H126" s="398"/>
      <c r="I126" s="481" t="s">
        <v>207</v>
      </c>
      <c r="J126" s="482"/>
      <c r="K126" s="482"/>
      <c r="L126" s="482"/>
      <c r="M126" s="482"/>
      <c r="N126" s="482"/>
      <c r="O126" s="482"/>
      <c r="P126" s="483"/>
      <c r="T126" s="516"/>
      <c r="U126" s="517"/>
      <c r="V126" s="517"/>
      <c r="W126" s="518"/>
      <c r="X126" s="440" t="s">
        <v>207</v>
      </c>
      <c r="Y126" s="441"/>
      <c r="Z126" s="441"/>
      <c r="AA126" s="442"/>
      <c r="AC126" s="198">
        <v>39</v>
      </c>
      <c r="AD126" s="116"/>
      <c r="AE126" s="97">
        <v>43784</v>
      </c>
      <c r="AF126" s="98" t="s">
        <v>169</v>
      </c>
      <c r="AG126" s="98" t="s">
        <v>243</v>
      </c>
      <c r="AH126" s="98" t="s">
        <v>258</v>
      </c>
      <c r="AI126" s="98">
        <v>0.38</v>
      </c>
      <c r="AJ126" s="165">
        <f t="shared" si="31"/>
        <v>64.2</v>
      </c>
      <c r="AK126" s="98">
        <v>3</v>
      </c>
      <c r="AL126" s="116">
        <f t="shared" si="19"/>
        <v>73.188000000000002</v>
      </c>
      <c r="AM126" s="98">
        <f t="shared" si="20"/>
        <v>24.396000000000001</v>
      </c>
      <c r="AN126" s="101">
        <f t="shared" si="21"/>
        <v>48.792000000000002</v>
      </c>
    </row>
    <row r="127" spans="1:40" hidden="1" x14ac:dyDescent="0.25">
      <c r="A127" s="505"/>
      <c r="B127" s="506"/>
      <c r="C127" s="506"/>
      <c r="D127" s="506"/>
      <c r="E127" s="506"/>
      <c r="F127" s="506"/>
      <c r="G127" s="506"/>
      <c r="H127" s="507"/>
      <c r="I127" s="448">
        <f>P123-L123</f>
        <v>0</v>
      </c>
      <c r="J127" s="449"/>
      <c r="K127" s="449"/>
      <c r="L127" s="449"/>
      <c r="M127" s="449"/>
      <c r="N127" s="449"/>
      <c r="O127" s="449"/>
      <c r="P127" s="471"/>
      <c r="T127" s="516"/>
      <c r="U127" s="517"/>
      <c r="V127" s="517"/>
      <c r="W127" s="518"/>
      <c r="X127" s="465">
        <f>Z125/1000</f>
        <v>1.166104</v>
      </c>
      <c r="Y127" s="466"/>
      <c r="Z127" s="466"/>
      <c r="AA127" s="467"/>
      <c r="AC127" s="198">
        <v>40</v>
      </c>
      <c r="AD127" s="116"/>
      <c r="AE127" s="97">
        <v>43788</v>
      </c>
      <c r="AF127" s="98" t="s">
        <v>169</v>
      </c>
      <c r="AG127" s="98" t="s">
        <v>243</v>
      </c>
      <c r="AH127" s="98" t="s">
        <v>266</v>
      </c>
      <c r="AI127" s="98">
        <v>0.19</v>
      </c>
      <c r="AJ127" s="165">
        <f t="shared" si="31"/>
        <v>64.2</v>
      </c>
      <c r="AK127" s="98">
        <v>2</v>
      </c>
      <c r="AL127" s="116">
        <f t="shared" si="19"/>
        <v>24.396000000000001</v>
      </c>
      <c r="AM127" s="98">
        <f t="shared" si="20"/>
        <v>12.198</v>
      </c>
      <c r="AN127" s="101">
        <f t="shared" si="21"/>
        <v>12.198</v>
      </c>
    </row>
    <row r="128" spans="1:40" ht="16.5" hidden="1" thickBot="1" x14ac:dyDescent="0.3">
      <c r="A128" s="508"/>
      <c r="B128" s="509"/>
      <c r="C128" s="509"/>
      <c r="D128" s="509"/>
      <c r="E128" s="509"/>
      <c r="F128" s="509"/>
      <c r="G128" s="509"/>
      <c r="H128" s="510"/>
      <c r="I128" s="477"/>
      <c r="J128" s="474"/>
      <c r="K128" s="474"/>
      <c r="L128" s="474"/>
      <c r="M128" s="474"/>
      <c r="N128" s="474"/>
      <c r="O128" s="474"/>
      <c r="P128" s="475"/>
      <c r="T128" s="516"/>
      <c r="U128" s="517"/>
      <c r="V128" s="517"/>
      <c r="W128" s="518"/>
      <c r="X128" s="468"/>
      <c r="Y128" s="469"/>
      <c r="Z128" s="469"/>
      <c r="AA128" s="470"/>
      <c r="AC128" s="200">
        <v>41</v>
      </c>
      <c r="AD128" s="175"/>
      <c r="AE128" s="173">
        <v>43802</v>
      </c>
      <c r="AF128" s="91" t="s">
        <v>169</v>
      </c>
      <c r="AG128" s="91" t="s">
        <v>253</v>
      </c>
      <c r="AH128" s="91" t="s">
        <v>258</v>
      </c>
      <c r="AI128" s="98">
        <v>0.38</v>
      </c>
      <c r="AJ128" s="165">
        <f>148*2</f>
        <v>296</v>
      </c>
      <c r="AK128" s="91">
        <v>3</v>
      </c>
      <c r="AL128" s="116">
        <f t="shared" si="19"/>
        <v>337.44</v>
      </c>
      <c r="AM128" s="98">
        <f t="shared" si="20"/>
        <v>112.48</v>
      </c>
      <c r="AN128" s="101">
        <f t="shared" si="21"/>
        <v>224.95999999999998</v>
      </c>
    </row>
    <row r="129" spans="1:40" ht="16.5" hidden="1" thickBot="1" x14ac:dyDescent="0.3">
      <c r="A129" s="396" t="s">
        <v>215</v>
      </c>
      <c r="B129" s="397"/>
      <c r="C129" s="397"/>
      <c r="D129" s="397"/>
      <c r="E129" s="397"/>
      <c r="F129" s="397"/>
      <c r="G129" s="397"/>
      <c r="H129" s="398"/>
      <c r="I129" s="396" t="s">
        <v>204</v>
      </c>
      <c r="J129" s="397"/>
      <c r="K129" s="397"/>
      <c r="L129" s="397"/>
      <c r="M129" s="397"/>
      <c r="N129" s="397"/>
      <c r="O129" s="397"/>
      <c r="P129" s="398"/>
      <c r="T129" s="516"/>
      <c r="U129" s="517"/>
      <c r="V129" s="517"/>
      <c r="W129" s="518"/>
      <c r="X129" s="478" t="s">
        <v>204</v>
      </c>
      <c r="Y129" s="479"/>
      <c r="Z129" s="479"/>
      <c r="AA129" s="480"/>
      <c r="AC129" s="200">
        <v>42</v>
      </c>
      <c r="AD129" s="175"/>
      <c r="AE129" s="173">
        <v>43802</v>
      </c>
      <c r="AF129" s="175" t="s">
        <v>169</v>
      </c>
      <c r="AG129" s="98" t="s">
        <v>243</v>
      </c>
      <c r="AH129" s="175" t="s">
        <v>266</v>
      </c>
      <c r="AI129" s="175">
        <v>0.19</v>
      </c>
      <c r="AJ129" s="165">
        <f>32.1*2</f>
        <v>64.2</v>
      </c>
      <c r="AK129" s="91">
        <v>2</v>
      </c>
      <c r="AL129" s="116">
        <f t="shared" si="19"/>
        <v>24.396000000000001</v>
      </c>
      <c r="AM129" s="98">
        <f t="shared" si="20"/>
        <v>12.198</v>
      </c>
      <c r="AN129" s="101">
        <f t="shared" si="21"/>
        <v>12.198</v>
      </c>
    </row>
    <row r="130" spans="1:40" ht="16.5" hidden="1" thickBot="1" x14ac:dyDescent="0.3">
      <c r="A130" s="492" t="s">
        <v>216</v>
      </c>
      <c r="B130" s="493"/>
      <c r="C130" s="494"/>
      <c r="D130" s="492" t="s">
        <v>217</v>
      </c>
      <c r="E130" s="495"/>
      <c r="F130" s="487" t="s">
        <v>218</v>
      </c>
      <c r="G130" s="488"/>
      <c r="H130" s="489"/>
      <c r="I130" s="496" t="s">
        <v>179</v>
      </c>
      <c r="J130" s="497"/>
      <c r="K130" s="497"/>
      <c r="L130" s="498"/>
      <c r="M130" s="499" t="s">
        <v>208</v>
      </c>
      <c r="N130" s="500"/>
      <c r="O130" s="500"/>
      <c r="P130" s="501"/>
      <c r="T130" s="516"/>
      <c r="U130" s="517"/>
      <c r="V130" s="517"/>
      <c r="W130" s="517"/>
      <c r="X130" s="484" t="s">
        <v>179</v>
      </c>
      <c r="Y130" s="485"/>
      <c r="Z130" s="486" t="s">
        <v>208</v>
      </c>
      <c r="AA130" s="471"/>
      <c r="AC130" s="198">
        <v>43</v>
      </c>
      <c r="AD130" s="116"/>
      <c r="AE130" s="173">
        <v>43804</v>
      </c>
      <c r="AF130" s="116" t="s">
        <v>169</v>
      </c>
      <c r="AG130" s="98" t="s">
        <v>253</v>
      </c>
      <c r="AH130" s="116" t="s">
        <v>258</v>
      </c>
      <c r="AI130" s="98">
        <v>0.38</v>
      </c>
      <c r="AJ130" s="165">
        <f>148*2</f>
        <v>296</v>
      </c>
      <c r="AK130" s="98">
        <v>2</v>
      </c>
      <c r="AL130" s="116">
        <f t="shared" si="19"/>
        <v>224.96</v>
      </c>
      <c r="AM130" s="98">
        <f t="shared" si="20"/>
        <v>112.48</v>
      </c>
      <c r="AN130" s="101">
        <f t="shared" si="21"/>
        <v>112.48</v>
      </c>
    </row>
    <row r="131" spans="1:40" ht="16.5" hidden="1" thickBot="1" x14ac:dyDescent="0.3">
      <c r="A131" s="88" t="s">
        <v>220</v>
      </c>
      <c r="B131" s="89" t="s">
        <v>221</v>
      </c>
      <c r="C131" s="90" t="s">
        <v>0</v>
      </c>
      <c r="D131" s="134"/>
      <c r="E131" s="135"/>
      <c r="F131" s="136" t="s">
        <v>220</v>
      </c>
      <c r="G131" s="137" t="s">
        <v>221</v>
      </c>
      <c r="H131" s="138" t="s">
        <v>0</v>
      </c>
      <c r="I131" s="448" t="s">
        <v>210</v>
      </c>
      <c r="J131" s="449"/>
      <c r="K131" s="449" t="s">
        <v>197</v>
      </c>
      <c r="L131" s="471"/>
      <c r="M131" s="448" t="e">
        <f>(I127/I132)*1000</f>
        <v>#DIV/0!</v>
      </c>
      <c r="N131" s="449"/>
      <c r="O131" s="449"/>
      <c r="P131" s="471"/>
      <c r="T131" s="516"/>
      <c r="U131" s="517"/>
      <c r="V131" s="517"/>
      <c r="W131" s="517"/>
      <c r="X131" s="118" t="s">
        <v>210</v>
      </c>
      <c r="Y131" s="127" t="s">
        <v>197</v>
      </c>
      <c r="Z131" s="511" t="e">
        <f>(X127/X132)*100</f>
        <v>#DIV/0!</v>
      </c>
      <c r="AA131" s="473"/>
      <c r="AC131" s="201">
        <v>44</v>
      </c>
      <c r="AD131" s="184"/>
      <c r="AE131" s="183">
        <v>43810</v>
      </c>
      <c r="AF131" s="184" t="s">
        <v>169</v>
      </c>
      <c r="AG131" s="196" t="s">
        <v>243</v>
      </c>
      <c r="AH131" s="184" t="s">
        <v>254</v>
      </c>
      <c r="AI131" s="184">
        <v>0.45</v>
      </c>
      <c r="AJ131" s="165">
        <f>32.1*2</f>
        <v>64.2</v>
      </c>
      <c r="AK131" s="196">
        <v>2</v>
      </c>
      <c r="AL131" s="184">
        <f t="shared" si="19"/>
        <v>57.78</v>
      </c>
      <c r="AM131" s="196">
        <f t="shared" si="20"/>
        <v>28.89</v>
      </c>
      <c r="AN131" s="186">
        <f t="shared" si="21"/>
        <v>28.89</v>
      </c>
    </row>
    <row r="132" spans="1:40" ht="19.5" hidden="1" thickBot="1" x14ac:dyDescent="0.3">
      <c r="A132" s="102"/>
      <c r="B132" s="103"/>
      <c r="C132" s="104">
        <f>A132+B132</f>
        <v>0</v>
      </c>
      <c r="D132" s="139"/>
      <c r="E132" s="140"/>
      <c r="F132" s="123" t="e">
        <f>$D$31/A132</f>
        <v>#DIV/0!</v>
      </c>
      <c r="G132" s="124" t="e">
        <f>$D$31/B132</f>
        <v>#DIV/0!</v>
      </c>
      <c r="H132" s="129" t="e">
        <f>$D$31/C132</f>
        <v>#DIV/0!</v>
      </c>
      <c r="I132" s="477"/>
      <c r="J132" s="474"/>
      <c r="K132" s="474" t="s">
        <v>211</v>
      </c>
      <c r="L132" s="475"/>
      <c r="M132" s="477"/>
      <c r="N132" s="474"/>
      <c r="O132" s="474"/>
      <c r="P132" s="475"/>
      <c r="T132" s="519"/>
      <c r="U132" s="520"/>
      <c r="V132" s="520"/>
      <c r="W132" s="520"/>
      <c r="X132" s="123"/>
      <c r="Y132" s="129" t="s">
        <v>211</v>
      </c>
      <c r="Z132" s="512"/>
      <c r="AA132" s="475"/>
      <c r="AC132" s="526" t="s">
        <v>0</v>
      </c>
      <c r="AD132" s="527"/>
      <c r="AE132" s="527"/>
      <c r="AF132" s="527"/>
      <c r="AG132" s="527"/>
      <c r="AH132" s="527"/>
      <c r="AI132" s="528"/>
      <c r="AJ132" s="187">
        <f>SUM(AJ88:AJ131)</f>
        <v>6171.199999999998</v>
      </c>
      <c r="AK132" s="202"/>
      <c r="AL132" s="202"/>
      <c r="AM132" s="203"/>
      <c r="AN132" s="187">
        <f>SUM(AN88:AN131)</f>
        <v>5609.2740000000031</v>
      </c>
    </row>
    <row r="133" spans="1:40" ht="16.5" hidden="1" thickBot="1" x14ac:dyDescent="0.3">
      <c r="T133" s="423" t="s">
        <v>215</v>
      </c>
      <c r="U133" s="424"/>
      <c r="V133" s="424"/>
      <c r="W133" s="424"/>
      <c r="X133" s="490"/>
      <c r="Y133" s="490"/>
      <c r="Z133" s="490"/>
      <c r="AA133" s="491"/>
      <c r="AL133" s="85"/>
      <c r="AM133" s="87"/>
    </row>
    <row r="134" spans="1:40" ht="16.5" hidden="1" thickBot="1" x14ac:dyDescent="0.3">
      <c r="T134" s="502" t="s">
        <v>216</v>
      </c>
      <c r="U134" s="503"/>
      <c r="V134" s="504"/>
      <c r="W134" s="522" t="s">
        <v>217</v>
      </c>
      <c r="X134" s="522"/>
      <c r="Y134" s="523" t="s">
        <v>218</v>
      </c>
      <c r="Z134" s="524"/>
      <c r="AA134" s="525"/>
      <c r="AC134" s="204" t="s">
        <v>267</v>
      </c>
      <c r="AD134" s="204"/>
      <c r="AE134" s="204"/>
      <c r="AF134" s="204"/>
      <c r="AG134" s="204"/>
      <c r="AH134" s="204"/>
      <c r="AL134" s="85"/>
      <c r="AM134" s="87"/>
    </row>
    <row r="135" spans="1:40" hidden="1" x14ac:dyDescent="0.25">
      <c r="E135" s="566" t="s">
        <v>268</v>
      </c>
      <c r="F135" s="567"/>
      <c r="G135" s="567"/>
      <c r="H135" s="568"/>
      <c r="T135" s="88" t="s">
        <v>220</v>
      </c>
      <c r="U135" s="89" t="s">
        <v>221</v>
      </c>
      <c r="V135" s="141" t="s">
        <v>0</v>
      </c>
      <c r="W135" s="399"/>
      <c r="X135" s="401"/>
      <c r="Y135" s="142" t="s">
        <v>220</v>
      </c>
      <c r="Z135" s="89" t="s">
        <v>221</v>
      </c>
      <c r="AA135" s="90" t="s">
        <v>0</v>
      </c>
      <c r="AC135" s="85" t="s">
        <v>269</v>
      </c>
      <c r="AL135" s="85"/>
      <c r="AM135" s="87"/>
    </row>
    <row r="136" spans="1:40" ht="16.5" hidden="1" thickBot="1" x14ac:dyDescent="0.3">
      <c r="E136" s="569"/>
      <c r="F136" s="570"/>
      <c r="G136" s="570"/>
      <c r="H136" s="571"/>
      <c r="T136" s="102"/>
      <c r="U136" s="103"/>
      <c r="V136" s="140">
        <f>T136+U136</f>
        <v>0</v>
      </c>
      <c r="W136" s="405"/>
      <c r="X136" s="407"/>
      <c r="Y136" s="133" t="e">
        <f>$D$31/T136</f>
        <v>#DIV/0!</v>
      </c>
      <c r="Z136" s="133" t="e">
        <f t="shared" ref="Z136:AA136" si="32">$D$31/U136</f>
        <v>#DIV/0!</v>
      </c>
      <c r="AA136" s="133" t="e">
        <f t="shared" si="32"/>
        <v>#DIV/0!</v>
      </c>
    </row>
    <row r="137" spans="1:40" ht="18" hidden="1" thickBot="1" x14ac:dyDescent="0.3">
      <c r="E137" s="205" t="s">
        <v>270</v>
      </c>
      <c r="F137" s="576">
        <v>16</v>
      </c>
      <c r="G137" s="577"/>
      <c r="H137" s="578"/>
      <c r="T137" s="423" t="s">
        <v>182</v>
      </c>
      <c r="U137" s="424"/>
      <c r="V137" s="424"/>
      <c r="W137" s="424"/>
      <c r="X137" s="490"/>
      <c r="Y137" s="490"/>
      <c r="Z137" s="490"/>
      <c r="AA137" s="491"/>
      <c r="AC137" s="545" t="s">
        <v>271</v>
      </c>
      <c r="AD137" s="546"/>
      <c r="AE137" s="546"/>
      <c r="AF137" s="546"/>
      <c r="AG137" s="546"/>
      <c r="AH137" s="546"/>
      <c r="AI137" s="546"/>
      <c r="AJ137" s="546"/>
      <c r="AK137" s="546"/>
      <c r="AL137" s="546"/>
      <c r="AM137" s="546"/>
      <c r="AN137" s="547"/>
    </row>
    <row r="138" spans="1:40" hidden="1" x14ac:dyDescent="0.25">
      <c r="E138" s="206" t="s">
        <v>272</v>
      </c>
      <c r="F138" s="207">
        <v>2018</v>
      </c>
      <c r="G138" s="207">
        <v>2019</v>
      </c>
      <c r="H138" s="208">
        <v>2020</v>
      </c>
      <c r="T138" s="408"/>
      <c r="U138" s="409"/>
      <c r="V138" s="409"/>
      <c r="W138" s="409"/>
      <c r="X138" s="409"/>
      <c r="Y138" s="409"/>
      <c r="Z138" s="409"/>
      <c r="AA138" s="410"/>
      <c r="AC138" s="548"/>
      <c r="AD138" s="549"/>
      <c r="AE138" s="549"/>
      <c r="AF138" s="549"/>
      <c r="AG138" s="549"/>
      <c r="AH138" s="549"/>
      <c r="AI138" s="549"/>
      <c r="AJ138" s="549"/>
      <c r="AK138" s="549"/>
      <c r="AL138" s="549"/>
      <c r="AM138" s="549"/>
      <c r="AN138" s="550"/>
    </row>
    <row r="139" spans="1:40" ht="19.5" hidden="1" thickBot="1" x14ac:dyDescent="0.3">
      <c r="E139" s="209" t="s">
        <v>273</v>
      </c>
      <c r="F139" s="163">
        <f>I52+X23</f>
        <v>12.452473459999998</v>
      </c>
      <c r="G139" s="163">
        <f>I77+X57</f>
        <v>9.7107237600000005</v>
      </c>
      <c r="H139" s="164">
        <f>X92</f>
        <v>0.45410400000000001</v>
      </c>
      <c r="T139" s="411"/>
      <c r="U139" s="412"/>
      <c r="V139" s="412"/>
      <c r="W139" s="412"/>
      <c r="X139" s="412"/>
      <c r="Y139" s="412"/>
      <c r="Z139" s="412"/>
      <c r="AA139" s="413"/>
      <c r="AC139" s="551"/>
      <c r="AD139" s="552"/>
      <c r="AE139" s="552"/>
      <c r="AF139" s="552"/>
      <c r="AG139" s="552"/>
      <c r="AH139" s="552"/>
      <c r="AI139" s="552"/>
      <c r="AJ139" s="552"/>
      <c r="AK139" s="552"/>
      <c r="AL139" s="552"/>
      <c r="AM139" s="552"/>
      <c r="AN139" s="553"/>
    </row>
    <row r="140" spans="1:40" ht="51" hidden="1" thickBot="1" x14ac:dyDescent="0.3">
      <c r="E140" s="210" t="s">
        <v>274</v>
      </c>
      <c r="F140" s="211">
        <f>F139/F137</f>
        <v>0.7782795912499999</v>
      </c>
      <c r="G140" s="211"/>
      <c r="H140" s="211"/>
      <c r="T140" s="411"/>
      <c r="U140" s="412"/>
      <c r="V140" s="412"/>
      <c r="W140" s="412"/>
      <c r="X140" s="412"/>
      <c r="Y140" s="412"/>
      <c r="Z140" s="412"/>
      <c r="AA140" s="413"/>
      <c r="AC140" s="212" t="s">
        <v>158</v>
      </c>
      <c r="AD140" s="212" t="s">
        <v>225</v>
      </c>
      <c r="AE140" s="212" t="s">
        <v>159</v>
      </c>
      <c r="AF140" s="212" t="s">
        <v>160</v>
      </c>
      <c r="AG140" s="212" t="s">
        <v>161</v>
      </c>
      <c r="AH140" s="212" t="s">
        <v>162</v>
      </c>
      <c r="AI140" s="213" t="s">
        <v>163</v>
      </c>
      <c r="AJ140" s="213" t="s">
        <v>164</v>
      </c>
      <c r="AK140" s="213" t="s">
        <v>165</v>
      </c>
      <c r="AL140" s="213" t="s">
        <v>166</v>
      </c>
      <c r="AM140" s="213" t="s">
        <v>167</v>
      </c>
      <c r="AN140" s="213" t="s">
        <v>168</v>
      </c>
    </row>
    <row r="141" spans="1:40" hidden="1" x14ac:dyDescent="0.25">
      <c r="T141" s="411"/>
      <c r="U141" s="412"/>
      <c r="V141" s="412"/>
      <c r="W141" s="412"/>
      <c r="X141" s="412"/>
      <c r="Y141" s="412"/>
      <c r="Z141" s="412"/>
      <c r="AA141" s="413"/>
      <c r="AC141" s="156">
        <v>1</v>
      </c>
      <c r="AD141" s="157"/>
      <c r="AE141" s="214">
        <v>43887</v>
      </c>
      <c r="AF141" s="157" t="s">
        <v>169</v>
      </c>
      <c r="AG141" s="157" t="s">
        <v>241</v>
      </c>
      <c r="AH141" s="157" t="s">
        <v>254</v>
      </c>
      <c r="AI141" s="157">
        <v>0.45</v>
      </c>
      <c r="AJ141" s="157">
        <f>129*2</f>
        <v>258</v>
      </c>
      <c r="AK141" s="215">
        <v>2</v>
      </c>
      <c r="AL141" s="94">
        <f t="shared" ref="AL141:AL147" si="33">AI141*AJ141*AK141</f>
        <v>232.20000000000002</v>
      </c>
      <c r="AM141" s="157">
        <f t="shared" ref="AM141:AM147" si="34">AI141*AJ141</f>
        <v>116.10000000000001</v>
      </c>
      <c r="AN141" s="216">
        <f t="shared" ref="AN141:AN147" si="35">AL141-AM141</f>
        <v>116.10000000000001</v>
      </c>
    </row>
    <row r="142" spans="1:40" hidden="1" x14ac:dyDescent="0.25">
      <c r="T142" s="411"/>
      <c r="U142" s="412"/>
      <c r="V142" s="412"/>
      <c r="W142" s="412"/>
      <c r="X142" s="412"/>
      <c r="Y142" s="412"/>
      <c r="Z142" s="412"/>
      <c r="AA142" s="413"/>
      <c r="AC142" s="160">
        <v>2</v>
      </c>
      <c r="AD142" s="161"/>
      <c r="AE142" s="217">
        <v>43892</v>
      </c>
      <c r="AF142" s="161" t="s">
        <v>169</v>
      </c>
      <c r="AG142" s="161" t="s">
        <v>170</v>
      </c>
      <c r="AH142" s="161" t="s">
        <v>254</v>
      </c>
      <c r="AI142" s="161">
        <v>0.45</v>
      </c>
      <c r="AJ142" s="161">
        <f>32.1*2</f>
        <v>64.2</v>
      </c>
      <c r="AK142" s="172">
        <v>2</v>
      </c>
      <c r="AL142" s="98">
        <f t="shared" si="33"/>
        <v>57.78</v>
      </c>
      <c r="AM142" s="161">
        <f t="shared" si="34"/>
        <v>28.89</v>
      </c>
      <c r="AN142" s="218">
        <f t="shared" si="35"/>
        <v>28.89</v>
      </c>
    </row>
    <row r="143" spans="1:40" ht="16.5" hidden="1" thickBot="1" x14ac:dyDescent="0.3">
      <c r="T143" s="414"/>
      <c r="U143" s="415"/>
      <c r="V143" s="415"/>
      <c r="W143" s="415"/>
      <c r="X143" s="415"/>
      <c r="Y143" s="415"/>
      <c r="Z143" s="415"/>
      <c r="AA143" s="416"/>
      <c r="AC143" s="160">
        <v>3</v>
      </c>
      <c r="AD143" s="161"/>
      <c r="AE143" s="217">
        <v>43893</v>
      </c>
      <c r="AF143" s="161" t="s">
        <v>169</v>
      </c>
      <c r="AG143" s="161" t="s">
        <v>170</v>
      </c>
      <c r="AH143" s="161" t="s">
        <v>254</v>
      </c>
      <c r="AI143" s="161">
        <v>0.45</v>
      </c>
      <c r="AJ143" s="161">
        <f>32.1*2</f>
        <v>64.2</v>
      </c>
      <c r="AK143" s="172">
        <v>2</v>
      </c>
      <c r="AL143" s="98">
        <f t="shared" si="33"/>
        <v>57.78</v>
      </c>
      <c r="AM143" s="161">
        <f t="shared" si="34"/>
        <v>28.89</v>
      </c>
      <c r="AN143" s="218">
        <f t="shared" si="35"/>
        <v>28.89</v>
      </c>
    </row>
    <row r="144" spans="1:40" ht="16.5" hidden="1" thickBot="1" x14ac:dyDescent="0.3">
      <c r="T144" s="423" t="s">
        <v>212</v>
      </c>
      <c r="U144" s="424"/>
      <c r="V144" s="424"/>
      <c r="W144" s="424"/>
      <c r="X144" s="490"/>
      <c r="Y144" s="490"/>
      <c r="Z144" s="490"/>
      <c r="AA144" s="491"/>
      <c r="AC144" s="160">
        <v>4</v>
      </c>
      <c r="AD144" s="161"/>
      <c r="AE144" s="217">
        <v>43894</v>
      </c>
      <c r="AF144" s="161" t="s">
        <v>169</v>
      </c>
      <c r="AG144" s="161" t="s">
        <v>170</v>
      </c>
      <c r="AH144" s="161" t="s">
        <v>245</v>
      </c>
      <c r="AI144" s="161">
        <v>0.37</v>
      </c>
      <c r="AJ144" s="161">
        <f>32.1*2</f>
        <v>64.2</v>
      </c>
      <c r="AK144" s="172">
        <v>2</v>
      </c>
      <c r="AL144" s="98">
        <f t="shared" si="33"/>
        <v>47.508000000000003</v>
      </c>
      <c r="AM144" s="161">
        <f t="shared" si="34"/>
        <v>23.754000000000001</v>
      </c>
      <c r="AN144" s="218">
        <f t="shared" si="35"/>
        <v>23.754000000000001</v>
      </c>
    </row>
    <row r="145" spans="20:40" hidden="1" x14ac:dyDescent="0.25">
      <c r="T145" s="513"/>
      <c r="U145" s="514"/>
      <c r="V145" s="514"/>
      <c r="W145" s="514"/>
      <c r="X145" s="514"/>
      <c r="Y145" s="514"/>
      <c r="Z145" s="514"/>
      <c r="AA145" s="515"/>
      <c r="AC145" s="160">
        <v>5</v>
      </c>
      <c r="AD145" s="161"/>
      <c r="AE145" s="217">
        <v>43895</v>
      </c>
      <c r="AF145" s="161" t="s">
        <v>169</v>
      </c>
      <c r="AG145" s="161" t="s">
        <v>170</v>
      </c>
      <c r="AH145" s="161" t="s">
        <v>258</v>
      </c>
      <c r="AI145" s="161">
        <v>0.38</v>
      </c>
      <c r="AJ145" s="161">
        <f>32.1*2</f>
        <v>64.2</v>
      </c>
      <c r="AK145" s="172">
        <v>2</v>
      </c>
      <c r="AL145" s="98">
        <f t="shared" si="33"/>
        <v>48.792000000000002</v>
      </c>
      <c r="AM145" s="161">
        <f t="shared" si="34"/>
        <v>24.396000000000001</v>
      </c>
      <c r="AN145" s="218">
        <f t="shared" si="35"/>
        <v>24.396000000000001</v>
      </c>
    </row>
    <row r="146" spans="20:40" ht="16.5" hidden="1" thickBot="1" x14ac:dyDescent="0.3">
      <c r="T146" s="519"/>
      <c r="U146" s="520"/>
      <c r="V146" s="520"/>
      <c r="W146" s="520"/>
      <c r="X146" s="520"/>
      <c r="Y146" s="520"/>
      <c r="Z146" s="520"/>
      <c r="AA146" s="521"/>
      <c r="AC146" s="160">
        <v>6</v>
      </c>
      <c r="AD146" s="161"/>
      <c r="AE146" s="217">
        <v>43896</v>
      </c>
      <c r="AF146" s="161" t="s">
        <v>169</v>
      </c>
      <c r="AG146" s="161" t="s">
        <v>241</v>
      </c>
      <c r="AH146" s="161" t="s">
        <v>262</v>
      </c>
      <c r="AI146" s="161">
        <v>0.36</v>
      </c>
      <c r="AJ146" s="161">
        <f>129*2</f>
        <v>258</v>
      </c>
      <c r="AK146" s="172">
        <v>2</v>
      </c>
      <c r="AL146" s="98">
        <f t="shared" si="33"/>
        <v>185.76</v>
      </c>
      <c r="AM146" s="161">
        <f t="shared" si="34"/>
        <v>92.88</v>
      </c>
      <c r="AN146" s="218">
        <f t="shared" si="35"/>
        <v>92.88</v>
      </c>
    </row>
    <row r="147" spans="20:40" hidden="1" x14ac:dyDescent="0.25">
      <c r="AC147" s="160">
        <v>7</v>
      </c>
      <c r="AD147" s="161"/>
      <c r="AE147" s="217">
        <v>43900</v>
      </c>
      <c r="AF147" s="161" t="s">
        <v>169</v>
      </c>
      <c r="AG147" s="161" t="s">
        <v>170</v>
      </c>
      <c r="AH147" s="161" t="s">
        <v>245</v>
      </c>
      <c r="AI147" s="161">
        <v>0.37</v>
      </c>
      <c r="AJ147" s="161">
        <f>32.1*2</f>
        <v>64.2</v>
      </c>
      <c r="AK147" s="172">
        <v>2</v>
      </c>
      <c r="AL147" s="98">
        <f t="shared" si="33"/>
        <v>47.508000000000003</v>
      </c>
      <c r="AM147" s="161">
        <f t="shared" si="34"/>
        <v>23.754000000000001</v>
      </c>
      <c r="AN147" s="218">
        <f t="shared" si="35"/>
        <v>23.754000000000001</v>
      </c>
    </row>
    <row r="148" spans="20:40" ht="16.5" hidden="1" thickBot="1" x14ac:dyDescent="0.3">
      <c r="AC148" s="177">
        <v>8</v>
      </c>
      <c r="AD148" s="178"/>
      <c r="AE148" s="219">
        <v>43901</v>
      </c>
      <c r="AF148" s="178" t="s">
        <v>169</v>
      </c>
      <c r="AG148" s="178" t="s">
        <v>253</v>
      </c>
      <c r="AH148" s="178" t="s">
        <v>261</v>
      </c>
      <c r="AI148" s="178">
        <v>0.39</v>
      </c>
      <c r="AJ148" s="178">
        <f>148*2</f>
        <v>296</v>
      </c>
      <c r="AK148" s="220">
        <v>2</v>
      </c>
      <c r="AL148" s="169">
        <f>AI148*AJ148*AK148</f>
        <v>230.88</v>
      </c>
      <c r="AM148" s="178">
        <f>AI148*AJ148</f>
        <v>115.44</v>
      </c>
      <c r="AN148" s="221">
        <f>AL148-AM148</f>
        <v>115.44</v>
      </c>
    </row>
    <row r="149" spans="20:40" ht="16.5" hidden="1" thickBot="1" x14ac:dyDescent="0.3">
      <c r="AC149" s="526" t="s">
        <v>0</v>
      </c>
      <c r="AD149" s="527"/>
      <c r="AE149" s="527"/>
      <c r="AF149" s="527"/>
      <c r="AG149" s="527"/>
      <c r="AH149" s="527"/>
      <c r="AI149" s="528"/>
      <c r="AJ149" s="222">
        <f>SUM(AJ141:AJ148)</f>
        <v>1133</v>
      </c>
      <c r="AK149" s="202"/>
      <c r="AL149" s="202"/>
      <c r="AM149" s="203"/>
      <c r="AN149" s="203">
        <f>SUM(AN141:AN148)</f>
        <v>454.10399999999998</v>
      </c>
    </row>
    <row r="150" spans="20:40" hidden="1" x14ac:dyDescent="0.25"/>
    <row r="151" spans="20:40" ht="16.5" hidden="1" thickBot="1" x14ac:dyDescent="0.3"/>
    <row r="152" spans="20:40" hidden="1" x14ac:dyDescent="0.25">
      <c r="AC152" s="545" t="s">
        <v>275</v>
      </c>
      <c r="AD152" s="546"/>
      <c r="AE152" s="546"/>
      <c r="AF152" s="546"/>
      <c r="AG152" s="546"/>
      <c r="AH152" s="546"/>
      <c r="AI152" s="546"/>
      <c r="AJ152" s="546"/>
      <c r="AK152" s="546"/>
      <c r="AL152" s="546"/>
      <c r="AM152" s="546"/>
      <c r="AN152" s="547"/>
    </row>
    <row r="153" spans="20:40" hidden="1" x14ac:dyDescent="0.25">
      <c r="AC153" s="548"/>
      <c r="AD153" s="549"/>
      <c r="AE153" s="549"/>
      <c r="AF153" s="549"/>
      <c r="AG153" s="549"/>
      <c r="AH153" s="549"/>
      <c r="AI153" s="549"/>
      <c r="AJ153" s="549"/>
      <c r="AK153" s="549"/>
      <c r="AL153" s="549"/>
      <c r="AM153" s="549"/>
      <c r="AN153" s="550"/>
    </row>
    <row r="154" spans="20:40" hidden="1" x14ac:dyDescent="0.25">
      <c r="AC154" s="572"/>
      <c r="AD154" s="573"/>
      <c r="AE154" s="573"/>
      <c r="AF154" s="573"/>
      <c r="AG154" s="573"/>
      <c r="AH154" s="573"/>
      <c r="AI154" s="573"/>
      <c r="AJ154" s="573"/>
      <c r="AK154" s="573"/>
      <c r="AL154" s="573"/>
      <c r="AM154" s="573"/>
      <c r="AN154" s="574"/>
    </row>
    <row r="155" spans="20:40" hidden="1" x14ac:dyDescent="0.25">
      <c r="AC155" s="575" t="s">
        <v>276</v>
      </c>
      <c r="AD155" s="575"/>
      <c r="AE155" s="575"/>
      <c r="AF155" s="575"/>
      <c r="AG155" s="575"/>
      <c r="AH155" s="575"/>
      <c r="AI155" s="575"/>
      <c r="AJ155" s="575"/>
      <c r="AK155" s="575"/>
      <c r="AL155" s="575"/>
      <c r="AM155" s="575"/>
      <c r="AN155" s="575"/>
    </row>
    <row r="156" spans="20:40" hidden="1" x14ac:dyDescent="0.25"/>
    <row r="157" spans="20:40" ht="16.5" hidden="1" thickBot="1" x14ac:dyDescent="0.3"/>
    <row r="158" spans="20:40" hidden="1" x14ac:dyDescent="0.25">
      <c r="AC158" s="545" t="s">
        <v>277</v>
      </c>
      <c r="AD158" s="546"/>
      <c r="AE158" s="546"/>
      <c r="AF158" s="546"/>
      <c r="AG158" s="546"/>
      <c r="AH158" s="546"/>
      <c r="AI158" s="546"/>
      <c r="AJ158" s="546"/>
      <c r="AK158" s="546"/>
      <c r="AL158" s="546"/>
      <c r="AM158" s="546"/>
      <c r="AN158" s="547"/>
    </row>
    <row r="159" spans="20:40" hidden="1" x14ac:dyDescent="0.25">
      <c r="AC159" s="548"/>
      <c r="AD159" s="549"/>
      <c r="AE159" s="549"/>
      <c r="AF159" s="549"/>
      <c r="AG159" s="549"/>
      <c r="AH159" s="549"/>
      <c r="AI159" s="549"/>
      <c r="AJ159" s="549"/>
      <c r="AK159" s="549"/>
      <c r="AL159" s="549"/>
      <c r="AM159" s="549"/>
      <c r="AN159" s="550"/>
    </row>
    <row r="160" spans="20:40" ht="16.5" hidden="1" thickBot="1" x14ac:dyDescent="0.3">
      <c r="AC160" s="551"/>
      <c r="AD160" s="552"/>
      <c r="AE160" s="552"/>
      <c r="AF160" s="552"/>
      <c r="AG160" s="552"/>
      <c r="AH160" s="552"/>
      <c r="AI160" s="552"/>
      <c r="AJ160" s="552"/>
      <c r="AK160" s="552"/>
      <c r="AL160" s="552"/>
      <c r="AM160" s="552"/>
      <c r="AN160" s="553"/>
    </row>
    <row r="161" spans="29:40" ht="51" hidden="1" thickBot="1" x14ac:dyDescent="0.3">
      <c r="AC161" s="212" t="s">
        <v>158</v>
      </c>
      <c r="AD161" s="212" t="s">
        <v>225</v>
      </c>
      <c r="AE161" s="212" t="s">
        <v>159</v>
      </c>
      <c r="AF161" s="212" t="s">
        <v>160</v>
      </c>
      <c r="AG161" s="212" t="s">
        <v>161</v>
      </c>
      <c r="AH161" s="212" t="s">
        <v>162</v>
      </c>
      <c r="AI161" s="213" t="s">
        <v>163</v>
      </c>
      <c r="AJ161" s="161" t="s">
        <v>164</v>
      </c>
      <c r="AK161" s="213" t="s">
        <v>278</v>
      </c>
      <c r="AL161" s="213" t="s">
        <v>166</v>
      </c>
      <c r="AM161" s="213" t="s">
        <v>167</v>
      </c>
      <c r="AN161" s="213" t="s">
        <v>168</v>
      </c>
    </row>
    <row r="162" spans="29:40" hidden="1" x14ac:dyDescent="0.25">
      <c r="AC162" s="156">
        <v>1</v>
      </c>
      <c r="AD162" s="157"/>
      <c r="AE162" s="214">
        <v>44616</v>
      </c>
      <c r="AF162" s="157" t="s">
        <v>169</v>
      </c>
      <c r="AG162" s="157" t="s">
        <v>170</v>
      </c>
      <c r="AH162" s="180" t="s">
        <v>279</v>
      </c>
      <c r="AI162" s="157">
        <v>0.28000000000000003</v>
      </c>
      <c r="AJ162" s="161">
        <f>32.1*2</f>
        <v>64.2</v>
      </c>
      <c r="AK162" s="94">
        <v>4</v>
      </c>
      <c r="AL162" s="94">
        <f t="shared" ref="AL162:AL185" si="36">AI162*AJ162*AK162</f>
        <v>71.904000000000011</v>
      </c>
      <c r="AM162" s="157">
        <f t="shared" ref="AM162:AM185" si="37">AI162*AJ162</f>
        <v>17.976000000000003</v>
      </c>
      <c r="AN162" s="216">
        <f t="shared" ref="AN162:AN185" si="38">AL162-AM162</f>
        <v>53.928000000000011</v>
      </c>
    </row>
    <row r="163" spans="29:40" hidden="1" x14ac:dyDescent="0.25">
      <c r="AC163" s="160">
        <v>2</v>
      </c>
      <c r="AD163" s="217"/>
      <c r="AE163" s="217">
        <v>44687</v>
      </c>
      <c r="AF163" s="161" t="s">
        <v>169</v>
      </c>
      <c r="AG163" s="161" t="s">
        <v>113</v>
      </c>
      <c r="AH163" s="180" t="s">
        <v>280</v>
      </c>
      <c r="AI163" s="161">
        <v>0.19</v>
      </c>
      <c r="AJ163" s="161">
        <v>296</v>
      </c>
      <c r="AK163" s="98">
        <v>2</v>
      </c>
      <c r="AL163" s="98">
        <f t="shared" si="36"/>
        <v>112.48</v>
      </c>
      <c r="AM163" s="161">
        <f t="shared" si="37"/>
        <v>56.24</v>
      </c>
      <c r="AN163" s="218">
        <f t="shared" si="38"/>
        <v>56.24</v>
      </c>
    </row>
    <row r="164" spans="29:40" hidden="1" x14ac:dyDescent="0.25">
      <c r="AC164" s="160">
        <v>3</v>
      </c>
      <c r="AD164" s="161"/>
      <c r="AE164" s="217">
        <v>44700</v>
      </c>
      <c r="AF164" s="161" t="s">
        <v>169</v>
      </c>
      <c r="AG164" s="161" t="s">
        <v>113</v>
      </c>
      <c r="AH164" s="161" t="s">
        <v>262</v>
      </c>
      <c r="AI164" s="161">
        <v>0.36</v>
      </c>
      <c r="AJ164" s="161">
        <v>296</v>
      </c>
      <c r="AK164" s="98">
        <v>2</v>
      </c>
      <c r="AL164" s="98">
        <f t="shared" si="36"/>
        <v>213.12</v>
      </c>
      <c r="AM164" s="161">
        <f t="shared" si="37"/>
        <v>106.56</v>
      </c>
      <c r="AN164" s="218">
        <f t="shared" si="38"/>
        <v>106.56</v>
      </c>
    </row>
    <row r="165" spans="29:40" hidden="1" x14ac:dyDescent="0.25">
      <c r="AC165" s="160">
        <v>4</v>
      </c>
      <c r="AD165" s="161"/>
      <c r="AE165" s="217">
        <v>44701</v>
      </c>
      <c r="AF165" s="161" t="s">
        <v>169</v>
      </c>
      <c r="AG165" s="161" t="s">
        <v>113</v>
      </c>
      <c r="AH165" s="161" t="s">
        <v>258</v>
      </c>
      <c r="AI165" s="161">
        <v>0.38</v>
      </c>
      <c r="AJ165" s="161">
        <v>296</v>
      </c>
      <c r="AK165" s="98">
        <v>2</v>
      </c>
      <c r="AL165" s="98">
        <f t="shared" si="36"/>
        <v>224.96</v>
      </c>
      <c r="AM165" s="161">
        <f t="shared" si="37"/>
        <v>112.48</v>
      </c>
      <c r="AN165" s="218">
        <f t="shared" si="38"/>
        <v>112.48</v>
      </c>
    </row>
    <row r="166" spans="29:40" hidden="1" x14ac:dyDescent="0.25">
      <c r="AC166" s="160">
        <v>5</v>
      </c>
      <c r="AD166" s="161"/>
      <c r="AE166" s="217">
        <v>44707</v>
      </c>
      <c r="AF166" s="161" t="s">
        <v>169</v>
      </c>
      <c r="AG166" s="161" t="s">
        <v>113</v>
      </c>
      <c r="AH166" s="161" t="s">
        <v>258</v>
      </c>
      <c r="AI166" s="161">
        <v>0.38</v>
      </c>
      <c r="AJ166" s="161">
        <v>296</v>
      </c>
      <c r="AK166" s="98">
        <v>2</v>
      </c>
      <c r="AL166" s="98">
        <f t="shared" si="36"/>
        <v>224.96</v>
      </c>
      <c r="AM166" s="161">
        <f t="shared" si="37"/>
        <v>112.48</v>
      </c>
      <c r="AN166" s="218">
        <f t="shared" si="38"/>
        <v>112.48</v>
      </c>
    </row>
    <row r="167" spans="29:40" hidden="1" x14ac:dyDescent="0.25">
      <c r="AC167" s="160">
        <v>6</v>
      </c>
      <c r="AD167" s="161"/>
      <c r="AE167" s="217">
        <v>44721</v>
      </c>
      <c r="AF167" s="161" t="s">
        <v>169</v>
      </c>
      <c r="AG167" s="161" t="s">
        <v>281</v>
      </c>
      <c r="AH167" s="161" t="s">
        <v>262</v>
      </c>
      <c r="AI167" s="161">
        <v>0.36</v>
      </c>
      <c r="AJ167" s="161">
        <f>129*2</f>
        <v>258</v>
      </c>
      <c r="AK167" s="98">
        <v>2</v>
      </c>
      <c r="AL167" s="98">
        <f t="shared" si="36"/>
        <v>185.76</v>
      </c>
      <c r="AM167" s="161">
        <f t="shared" si="37"/>
        <v>92.88</v>
      </c>
      <c r="AN167" s="218">
        <f t="shared" si="38"/>
        <v>92.88</v>
      </c>
    </row>
    <row r="168" spans="29:40" hidden="1" x14ac:dyDescent="0.25">
      <c r="AC168" s="160">
        <v>7</v>
      </c>
      <c r="AD168" s="161"/>
      <c r="AE168" s="217">
        <v>44726</v>
      </c>
      <c r="AF168" s="161" t="s">
        <v>169</v>
      </c>
      <c r="AG168" s="161" t="s">
        <v>282</v>
      </c>
      <c r="AH168" s="161" t="s">
        <v>251</v>
      </c>
      <c r="AI168" s="161">
        <v>0.31</v>
      </c>
      <c r="AJ168" s="161">
        <v>47</v>
      </c>
      <c r="AK168" s="98">
        <v>2</v>
      </c>
      <c r="AL168" s="98">
        <f t="shared" si="36"/>
        <v>29.14</v>
      </c>
      <c r="AM168" s="161">
        <f t="shared" si="37"/>
        <v>14.57</v>
      </c>
      <c r="AN168" s="218">
        <f t="shared" si="38"/>
        <v>14.57</v>
      </c>
    </row>
    <row r="169" spans="29:40" hidden="1" x14ac:dyDescent="0.25">
      <c r="AC169" s="160">
        <v>8</v>
      </c>
      <c r="AD169" s="161"/>
      <c r="AE169" s="217">
        <v>44729</v>
      </c>
      <c r="AF169" s="161" t="s">
        <v>169</v>
      </c>
      <c r="AG169" s="161" t="s">
        <v>281</v>
      </c>
      <c r="AH169" s="161" t="s">
        <v>265</v>
      </c>
      <c r="AI169" s="161">
        <v>0.56999999999999995</v>
      </c>
      <c r="AJ169" s="161">
        <f>129*2</f>
        <v>258</v>
      </c>
      <c r="AK169" s="98">
        <v>2</v>
      </c>
      <c r="AL169" s="98">
        <f t="shared" si="36"/>
        <v>294.11999999999995</v>
      </c>
      <c r="AM169" s="161">
        <f t="shared" si="37"/>
        <v>147.05999999999997</v>
      </c>
      <c r="AN169" s="218">
        <f t="shared" si="38"/>
        <v>147.05999999999997</v>
      </c>
    </row>
    <row r="170" spans="29:40" hidden="1" x14ac:dyDescent="0.25">
      <c r="AC170" s="160">
        <v>9</v>
      </c>
      <c r="AD170" s="161"/>
      <c r="AE170" s="217">
        <v>44768</v>
      </c>
      <c r="AF170" s="161" t="s">
        <v>169</v>
      </c>
      <c r="AG170" s="161" t="s">
        <v>113</v>
      </c>
      <c r="AH170" s="161" t="s">
        <v>258</v>
      </c>
      <c r="AI170" s="161">
        <v>0.38</v>
      </c>
      <c r="AJ170" s="161">
        <v>296</v>
      </c>
      <c r="AK170" s="98">
        <v>2</v>
      </c>
      <c r="AL170" s="98">
        <f t="shared" si="36"/>
        <v>224.96</v>
      </c>
      <c r="AM170" s="161">
        <f t="shared" si="37"/>
        <v>112.48</v>
      </c>
      <c r="AN170" s="218">
        <f t="shared" si="38"/>
        <v>112.48</v>
      </c>
    </row>
    <row r="171" spans="29:40" hidden="1" x14ac:dyDescent="0.25">
      <c r="AC171" s="160">
        <v>10</v>
      </c>
      <c r="AD171" s="161"/>
      <c r="AE171" s="217">
        <v>44777</v>
      </c>
      <c r="AF171" s="161" t="s">
        <v>169</v>
      </c>
      <c r="AG171" s="161" t="s">
        <v>281</v>
      </c>
      <c r="AH171" s="161" t="s">
        <v>258</v>
      </c>
      <c r="AI171" s="161">
        <v>0.38</v>
      </c>
      <c r="AJ171" s="161">
        <v>258</v>
      </c>
      <c r="AK171" s="98">
        <v>2</v>
      </c>
      <c r="AL171" s="98">
        <f t="shared" si="36"/>
        <v>196.08</v>
      </c>
      <c r="AM171" s="161">
        <f t="shared" si="37"/>
        <v>98.04</v>
      </c>
      <c r="AN171" s="218">
        <f t="shared" si="38"/>
        <v>98.04</v>
      </c>
    </row>
    <row r="172" spans="29:40" hidden="1" x14ac:dyDescent="0.25">
      <c r="AC172" s="160">
        <v>11</v>
      </c>
      <c r="AD172" s="161"/>
      <c r="AE172" s="217">
        <v>44798</v>
      </c>
      <c r="AF172" s="161" t="s">
        <v>169</v>
      </c>
      <c r="AG172" s="161" t="s">
        <v>281</v>
      </c>
      <c r="AH172" s="161" t="s">
        <v>258</v>
      </c>
      <c r="AI172" s="161">
        <v>0.38</v>
      </c>
      <c r="AJ172" s="161">
        <v>258</v>
      </c>
      <c r="AK172" s="98">
        <v>2</v>
      </c>
      <c r="AL172" s="98">
        <f t="shared" si="36"/>
        <v>196.08</v>
      </c>
      <c r="AM172" s="161">
        <f t="shared" si="37"/>
        <v>98.04</v>
      </c>
      <c r="AN172" s="218">
        <f t="shared" si="38"/>
        <v>98.04</v>
      </c>
    </row>
    <row r="173" spans="29:40" hidden="1" x14ac:dyDescent="0.25">
      <c r="AC173" s="160">
        <v>12</v>
      </c>
      <c r="AD173" s="161"/>
      <c r="AE173" s="217">
        <v>44812</v>
      </c>
      <c r="AF173" s="161" t="s">
        <v>169</v>
      </c>
      <c r="AG173" s="161" t="s">
        <v>281</v>
      </c>
      <c r="AH173" s="161" t="s">
        <v>258</v>
      </c>
      <c r="AI173" s="161">
        <v>0.38</v>
      </c>
      <c r="AJ173" s="161">
        <v>258</v>
      </c>
      <c r="AK173" s="98">
        <v>2</v>
      </c>
      <c r="AL173" s="98">
        <f t="shared" si="36"/>
        <v>196.08</v>
      </c>
      <c r="AM173" s="161">
        <f t="shared" si="37"/>
        <v>98.04</v>
      </c>
      <c r="AN173" s="218">
        <f t="shared" si="38"/>
        <v>98.04</v>
      </c>
    </row>
    <row r="174" spans="29:40" hidden="1" x14ac:dyDescent="0.25">
      <c r="AC174" s="160">
        <v>13</v>
      </c>
      <c r="AD174" s="161"/>
      <c r="AE174" s="217">
        <v>44840</v>
      </c>
      <c r="AF174" s="161" t="s">
        <v>169</v>
      </c>
      <c r="AG174" s="161" t="s">
        <v>113</v>
      </c>
      <c r="AH174" s="161" t="s">
        <v>246</v>
      </c>
      <c r="AI174" s="161">
        <v>0.61</v>
      </c>
      <c r="AJ174" s="161">
        <v>296</v>
      </c>
      <c r="AK174" s="98">
        <v>2</v>
      </c>
      <c r="AL174" s="98">
        <f t="shared" si="36"/>
        <v>361.12</v>
      </c>
      <c r="AM174" s="161">
        <f t="shared" si="37"/>
        <v>180.56</v>
      </c>
      <c r="AN174" s="218">
        <f t="shared" si="38"/>
        <v>180.56</v>
      </c>
    </row>
    <row r="175" spans="29:40" hidden="1" x14ac:dyDescent="0.25">
      <c r="AC175" s="160">
        <v>14</v>
      </c>
      <c r="AD175" s="161"/>
      <c r="AE175" s="217">
        <v>44852</v>
      </c>
      <c r="AF175" s="161" t="s">
        <v>169</v>
      </c>
      <c r="AG175" s="161" t="s">
        <v>170</v>
      </c>
      <c r="AH175" s="161" t="s">
        <v>246</v>
      </c>
      <c r="AI175" s="161">
        <v>0.61</v>
      </c>
      <c r="AJ175" s="161">
        <v>64.2</v>
      </c>
      <c r="AK175" s="98">
        <v>2</v>
      </c>
      <c r="AL175" s="98">
        <f t="shared" si="36"/>
        <v>78.323999999999998</v>
      </c>
      <c r="AM175" s="161">
        <f t="shared" si="37"/>
        <v>39.161999999999999</v>
      </c>
      <c r="AN175" s="218">
        <f t="shared" si="38"/>
        <v>39.161999999999999</v>
      </c>
    </row>
    <row r="176" spans="29:40" hidden="1" x14ac:dyDescent="0.25">
      <c r="AC176" s="160">
        <v>15</v>
      </c>
      <c r="AD176" s="161"/>
      <c r="AE176" s="217">
        <v>44873</v>
      </c>
      <c r="AF176" s="161" t="s">
        <v>169</v>
      </c>
      <c r="AG176" s="161" t="s">
        <v>281</v>
      </c>
      <c r="AH176" s="161" t="s">
        <v>257</v>
      </c>
      <c r="AI176" s="161">
        <v>0.36</v>
      </c>
      <c r="AJ176" s="161">
        <v>258</v>
      </c>
      <c r="AK176" s="98">
        <v>3</v>
      </c>
      <c r="AL176" s="98">
        <f t="shared" si="36"/>
        <v>278.64</v>
      </c>
      <c r="AM176" s="161">
        <f t="shared" si="37"/>
        <v>92.88</v>
      </c>
      <c r="AN176" s="218">
        <f t="shared" si="38"/>
        <v>185.76</v>
      </c>
    </row>
    <row r="177" spans="29:40" hidden="1" x14ac:dyDescent="0.25">
      <c r="AC177" s="160">
        <v>16</v>
      </c>
      <c r="AD177" s="161"/>
      <c r="AE177" s="217">
        <v>44889</v>
      </c>
      <c r="AF177" s="161" t="s">
        <v>169</v>
      </c>
      <c r="AG177" s="161" t="s">
        <v>281</v>
      </c>
      <c r="AH177" s="161" t="s">
        <v>283</v>
      </c>
      <c r="AI177" s="161">
        <v>0.36</v>
      </c>
      <c r="AJ177" s="161">
        <v>258</v>
      </c>
      <c r="AK177" s="98">
        <v>2</v>
      </c>
      <c r="AL177" s="98">
        <f t="shared" si="36"/>
        <v>185.76</v>
      </c>
      <c r="AM177" s="161">
        <f t="shared" si="37"/>
        <v>92.88</v>
      </c>
      <c r="AN177" s="218">
        <f t="shared" si="38"/>
        <v>92.88</v>
      </c>
    </row>
    <row r="178" spans="29:40" hidden="1" x14ac:dyDescent="0.25">
      <c r="AC178" s="160">
        <v>17</v>
      </c>
      <c r="AD178" s="161"/>
      <c r="AE178" s="217">
        <v>44893</v>
      </c>
      <c r="AF178" s="161" t="s">
        <v>169</v>
      </c>
      <c r="AG178" s="161" t="s">
        <v>281</v>
      </c>
      <c r="AH178" s="161" t="s">
        <v>265</v>
      </c>
      <c r="AI178" s="161">
        <v>0.56999999999999995</v>
      </c>
      <c r="AJ178" s="161">
        <v>258</v>
      </c>
      <c r="AK178" s="98">
        <v>2</v>
      </c>
      <c r="AL178" s="98">
        <f t="shared" si="36"/>
        <v>294.11999999999995</v>
      </c>
      <c r="AM178" s="161">
        <f t="shared" si="37"/>
        <v>147.05999999999997</v>
      </c>
      <c r="AN178" s="218">
        <f t="shared" si="38"/>
        <v>147.05999999999997</v>
      </c>
    </row>
    <row r="179" spans="29:40" hidden="1" x14ac:dyDescent="0.25">
      <c r="AC179" s="160">
        <v>18</v>
      </c>
      <c r="AD179" s="161"/>
      <c r="AE179" s="217">
        <v>44902</v>
      </c>
      <c r="AF179" s="161" t="s">
        <v>169</v>
      </c>
      <c r="AG179" s="161" t="s">
        <v>281</v>
      </c>
      <c r="AH179" s="161" t="s">
        <v>258</v>
      </c>
      <c r="AI179" s="161">
        <v>0.38</v>
      </c>
      <c r="AJ179" s="161">
        <v>258</v>
      </c>
      <c r="AK179" s="98">
        <v>2</v>
      </c>
      <c r="AL179" s="98">
        <f t="shared" si="36"/>
        <v>196.08</v>
      </c>
      <c r="AM179" s="161">
        <f t="shared" si="37"/>
        <v>98.04</v>
      </c>
      <c r="AN179" s="218">
        <f t="shared" si="38"/>
        <v>98.04</v>
      </c>
    </row>
    <row r="180" spans="29:40" hidden="1" x14ac:dyDescent="0.25">
      <c r="AC180" s="160">
        <v>19</v>
      </c>
      <c r="AD180" s="161"/>
      <c r="AE180" s="217"/>
      <c r="AF180" s="161" t="s">
        <v>169</v>
      </c>
      <c r="AG180" s="161"/>
      <c r="AH180" s="161"/>
      <c r="AI180" s="161"/>
      <c r="AJ180" s="161"/>
      <c r="AK180" s="98"/>
      <c r="AL180" s="98">
        <f t="shared" si="36"/>
        <v>0</v>
      </c>
      <c r="AM180" s="161">
        <f t="shared" si="37"/>
        <v>0</v>
      </c>
      <c r="AN180" s="218">
        <f t="shared" si="38"/>
        <v>0</v>
      </c>
    </row>
    <row r="181" spans="29:40" hidden="1" x14ac:dyDescent="0.25">
      <c r="AC181" s="160">
        <v>20</v>
      </c>
      <c r="AD181" s="161"/>
      <c r="AE181" s="217"/>
      <c r="AF181" s="161" t="s">
        <v>169</v>
      </c>
      <c r="AG181" s="161"/>
      <c r="AH181" s="161"/>
      <c r="AI181" s="161"/>
      <c r="AJ181" s="161"/>
      <c r="AK181" s="98"/>
      <c r="AL181" s="98">
        <f t="shared" si="36"/>
        <v>0</v>
      </c>
      <c r="AM181" s="161">
        <f t="shared" si="37"/>
        <v>0</v>
      </c>
      <c r="AN181" s="218">
        <f t="shared" si="38"/>
        <v>0</v>
      </c>
    </row>
    <row r="182" spans="29:40" hidden="1" x14ac:dyDescent="0.25">
      <c r="AC182" s="160">
        <v>21</v>
      </c>
      <c r="AD182" s="161"/>
      <c r="AE182" s="217"/>
      <c r="AF182" s="161" t="s">
        <v>169</v>
      </c>
      <c r="AG182" s="161"/>
      <c r="AH182" s="161"/>
      <c r="AI182" s="161"/>
      <c r="AJ182" s="161"/>
      <c r="AK182" s="98"/>
      <c r="AL182" s="98">
        <f t="shared" si="36"/>
        <v>0</v>
      </c>
      <c r="AM182" s="161">
        <f t="shared" si="37"/>
        <v>0</v>
      </c>
      <c r="AN182" s="218">
        <f t="shared" si="38"/>
        <v>0</v>
      </c>
    </row>
    <row r="183" spans="29:40" hidden="1" x14ac:dyDescent="0.25">
      <c r="AC183" s="160">
        <v>22</v>
      </c>
      <c r="AD183" s="161"/>
      <c r="AE183" s="217"/>
      <c r="AF183" s="161" t="s">
        <v>169</v>
      </c>
      <c r="AG183" s="161"/>
      <c r="AH183" s="161"/>
      <c r="AI183" s="161"/>
      <c r="AJ183" s="161"/>
      <c r="AK183" s="98"/>
      <c r="AL183" s="98">
        <f t="shared" si="36"/>
        <v>0</v>
      </c>
      <c r="AM183" s="161">
        <f t="shared" si="37"/>
        <v>0</v>
      </c>
      <c r="AN183" s="218">
        <f t="shared" si="38"/>
        <v>0</v>
      </c>
    </row>
    <row r="184" spans="29:40" hidden="1" x14ac:dyDescent="0.25">
      <c r="AC184" s="160">
        <v>23</v>
      </c>
      <c r="AD184" s="161"/>
      <c r="AE184" s="217"/>
      <c r="AF184" s="161" t="s">
        <v>169</v>
      </c>
      <c r="AG184" s="161"/>
      <c r="AH184" s="161"/>
      <c r="AI184" s="161"/>
      <c r="AJ184" s="161"/>
      <c r="AK184" s="98"/>
      <c r="AL184" s="98">
        <f t="shared" si="36"/>
        <v>0</v>
      </c>
      <c r="AM184" s="161">
        <f t="shared" si="37"/>
        <v>0</v>
      </c>
      <c r="AN184" s="218">
        <f t="shared" si="38"/>
        <v>0</v>
      </c>
    </row>
    <row r="185" spans="29:40" ht="16.5" hidden="1" thickBot="1" x14ac:dyDescent="0.3">
      <c r="AC185" s="160">
        <v>24</v>
      </c>
      <c r="AD185" s="161"/>
      <c r="AE185" s="217"/>
      <c r="AF185" s="161" t="s">
        <v>169</v>
      </c>
      <c r="AG185" s="161"/>
      <c r="AH185" s="161"/>
      <c r="AI185" s="161"/>
      <c r="AJ185" s="161"/>
      <c r="AK185" s="98"/>
      <c r="AL185" s="98">
        <f t="shared" si="36"/>
        <v>0</v>
      </c>
      <c r="AM185" s="161">
        <f t="shared" si="37"/>
        <v>0</v>
      </c>
      <c r="AN185" s="218">
        <f t="shared" si="38"/>
        <v>0</v>
      </c>
    </row>
    <row r="186" spans="29:40" ht="16.5" hidden="1" thickBot="1" x14ac:dyDescent="0.3">
      <c r="AC186" s="526" t="s">
        <v>0</v>
      </c>
      <c r="AD186" s="527"/>
      <c r="AE186" s="527"/>
      <c r="AF186" s="527"/>
      <c r="AG186" s="527"/>
      <c r="AH186" s="527"/>
      <c r="AI186" s="528"/>
      <c r="AJ186" s="222">
        <f>SUM(AJ162:AJ185)</f>
        <v>4273.3999999999996</v>
      </c>
      <c r="AK186" s="202"/>
      <c r="AL186" s="202"/>
      <c r="AM186" s="203"/>
      <c r="AN186" s="203">
        <f>SUM(AN162:AN185)</f>
        <v>1846.2599999999998</v>
      </c>
    </row>
    <row r="187" spans="29:40" hidden="1" x14ac:dyDescent="0.25"/>
    <row r="188" spans="29:40" ht="16.5" thickBot="1" x14ac:dyDescent="0.3"/>
    <row r="189" spans="29:40" x14ac:dyDescent="0.25">
      <c r="AC189" s="545" t="s">
        <v>284</v>
      </c>
      <c r="AD189" s="546"/>
      <c r="AE189" s="546"/>
      <c r="AF189" s="546"/>
      <c r="AG189" s="546"/>
      <c r="AH189" s="546"/>
      <c r="AI189" s="546"/>
      <c r="AJ189" s="546"/>
      <c r="AK189" s="546"/>
      <c r="AL189" s="546"/>
      <c r="AM189" s="546"/>
      <c r="AN189" s="547"/>
    </row>
    <row r="190" spans="29:40" x14ac:dyDescent="0.25">
      <c r="AC190" s="548"/>
      <c r="AD190" s="549"/>
      <c r="AE190" s="549"/>
      <c r="AF190" s="549"/>
      <c r="AG190" s="549"/>
      <c r="AH190" s="549"/>
      <c r="AI190" s="549"/>
      <c r="AJ190" s="549"/>
      <c r="AK190" s="549"/>
      <c r="AL190" s="549"/>
      <c r="AM190" s="549"/>
      <c r="AN190" s="550"/>
    </row>
    <row r="191" spans="29:40" ht="16.5" thickBot="1" x14ac:dyDescent="0.3">
      <c r="AC191" s="551"/>
      <c r="AD191" s="552"/>
      <c r="AE191" s="552"/>
      <c r="AF191" s="552"/>
      <c r="AG191" s="552"/>
      <c r="AH191" s="552"/>
      <c r="AI191" s="552"/>
      <c r="AJ191" s="552"/>
      <c r="AK191" s="552"/>
      <c r="AL191" s="552"/>
      <c r="AM191" s="552"/>
      <c r="AN191" s="553"/>
    </row>
    <row r="192" spans="29:40" ht="51" thickBot="1" x14ac:dyDescent="0.3">
      <c r="AC192" s="212" t="s">
        <v>285</v>
      </c>
      <c r="AD192" s="212" t="s">
        <v>225</v>
      </c>
      <c r="AE192" s="212" t="s">
        <v>159</v>
      </c>
      <c r="AF192" s="212" t="s">
        <v>160</v>
      </c>
      <c r="AG192" s="212" t="s">
        <v>161</v>
      </c>
      <c r="AH192" s="212" t="s">
        <v>162</v>
      </c>
      <c r="AI192" s="213" t="s">
        <v>163</v>
      </c>
      <c r="AJ192" s="213" t="s">
        <v>164</v>
      </c>
      <c r="AK192" s="213" t="s">
        <v>278</v>
      </c>
      <c r="AL192" s="213" t="s">
        <v>166</v>
      </c>
      <c r="AM192" s="213" t="s">
        <v>167</v>
      </c>
      <c r="AN192" s="213" t="s">
        <v>168</v>
      </c>
    </row>
    <row r="193" spans="29:40" x14ac:dyDescent="0.25">
      <c r="AC193" s="156">
        <v>1</v>
      </c>
      <c r="AD193" s="157"/>
      <c r="AE193" s="214">
        <v>44971</v>
      </c>
      <c r="AF193" s="157" t="s">
        <v>169</v>
      </c>
      <c r="AG193" s="161" t="s">
        <v>281</v>
      </c>
      <c r="AH193" s="157" t="s">
        <v>286</v>
      </c>
      <c r="AI193" s="157">
        <v>0.28999999999999998</v>
      </c>
      <c r="AJ193" s="267">
        <f>132.5*2</f>
        <v>265</v>
      </c>
      <c r="AK193" s="94">
        <v>2</v>
      </c>
      <c r="AL193" s="94">
        <f>AI193*AJ193*AK193</f>
        <v>153.69999999999999</v>
      </c>
      <c r="AM193" s="157">
        <f t="shared" ref="AM193:AM217" si="39">AI193*AJ193</f>
        <v>76.849999999999994</v>
      </c>
      <c r="AN193" s="216">
        <f t="shared" ref="AN193:AN217" si="40">AL193-AM193</f>
        <v>76.849999999999994</v>
      </c>
    </row>
    <row r="194" spans="29:40" ht="16.5" thickBot="1" x14ac:dyDescent="0.3">
      <c r="AC194" s="160">
        <v>2</v>
      </c>
      <c r="AD194" s="217"/>
      <c r="AE194" s="217">
        <v>44987</v>
      </c>
      <c r="AF194" s="161" t="s">
        <v>169</v>
      </c>
      <c r="AG194" s="161" t="s">
        <v>287</v>
      </c>
      <c r="AH194" s="180" t="s">
        <v>288</v>
      </c>
      <c r="AI194" s="161">
        <v>0.18</v>
      </c>
      <c r="AJ194" s="268">
        <f>19.3*2</f>
        <v>38.6</v>
      </c>
      <c r="AK194" s="98">
        <v>2</v>
      </c>
      <c r="AL194" s="98">
        <f t="shared" ref="AL194:AL217" si="41">AI194*AJ194*AK194</f>
        <v>13.896000000000001</v>
      </c>
      <c r="AM194" s="161">
        <f t="shared" si="39"/>
        <v>6.9480000000000004</v>
      </c>
      <c r="AN194" s="218">
        <f t="shared" si="40"/>
        <v>6.9480000000000004</v>
      </c>
    </row>
    <row r="195" spans="29:40" x14ac:dyDescent="0.25">
      <c r="AC195" s="156">
        <v>3</v>
      </c>
      <c r="AD195" s="161"/>
      <c r="AE195" s="217">
        <v>44999</v>
      </c>
      <c r="AF195" s="161" t="s">
        <v>169</v>
      </c>
      <c r="AG195" s="161" t="s">
        <v>281</v>
      </c>
      <c r="AH195" s="161" t="s">
        <v>286</v>
      </c>
      <c r="AI195" s="161">
        <v>0.28999999999999998</v>
      </c>
      <c r="AJ195" s="268">
        <v>265</v>
      </c>
      <c r="AK195" s="98">
        <v>2</v>
      </c>
      <c r="AL195" s="98">
        <f t="shared" si="41"/>
        <v>153.69999999999999</v>
      </c>
      <c r="AM195" s="161">
        <f t="shared" si="39"/>
        <v>76.849999999999994</v>
      </c>
      <c r="AN195" s="218">
        <f t="shared" si="40"/>
        <v>76.849999999999994</v>
      </c>
    </row>
    <row r="196" spans="29:40" ht="16.5" thickBot="1" x14ac:dyDescent="0.3">
      <c r="AC196" s="160">
        <v>4</v>
      </c>
      <c r="AD196" s="161"/>
      <c r="AE196" s="217">
        <v>44999</v>
      </c>
      <c r="AF196" s="161" t="s">
        <v>169</v>
      </c>
      <c r="AG196" s="161" t="s">
        <v>243</v>
      </c>
      <c r="AH196" s="161" t="s">
        <v>289</v>
      </c>
      <c r="AI196" s="161">
        <v>0.11</v>
      </c>
      <c r="AJ196" s="268">
        <f>32.1*2</f>
        <v>64.2</v>
      </c>
      <c r="AK196" s="98">
        <v>2</v>
      </c>
      <c r="AL196" s="98">
        <f t="shared" si="41"/>
        <v>14.124000000000001</v>
      </c>
      <c r="AM196" s="161">
        <f t="shared" si="39"/>
        <v>7.0620000000000003</v>
      </c>
      <c r="AN196" s="218">
        <f t="shared" si="40"/>
        <v>7.0620000000000003</v>
      </c>
    </row>
    <row r="197" spans="29:40" x14ac:dyDescent="0.25">
      <c r="AC197" s="156">
        <v>5</v>
      </c>
      <c r="AD197" s="161"/>
      <c r="AE197" s="217">
        <v>45006</v>
      </c>
      <c r="AF197" s="161" t="s">
        <v>169</v>
      </c>
      <c r="AG197" s="161" t="s">
        <v>243</v>
      </c>
      <c r="AH197" s="161" t="s">
        <v>290</v>
      </c>
      <c r="AI197" s="161">
        <v>0.11</v>
      </c>
      <c r="AJ197" s="268">
        <v>64.2</v>
      </c>
      <c r="AK197" s="98">
        <v>2</v>
      </c>
      <c r="AL197" s="98">
        <f t="shared" si="41"/>
        <v>14.124000000000001</v>
      </c>
      <c r="AM197" s="161">
        <f t="shared" si="39"/>
        <v>7.0620000000000003</v>
      </c>
      <c r="AN197" s="218">
        <f t="shared" si="40"/>
        <v>7.0620000000000003</v>
      </c>
    </row>
    <row r="198" spans="29:40" ht="16.5" thickBot="1" x14ac:dyDescent="0.3">
      <c r="AC198" s="160">
        <v>6</v>
      </c>
      <c r="AD198" s="161"/>
      <c r="AE198" s="217">
        <v>45006</v>
      </c>
      <c r="AF198" s="161" t="s">
        <v>169</v>
      </c>
      <c r="AG198" s="161" t="s">
        <v>243</v>
      </c>
      <c r="AH198" s="161" t="s">
        <v>291</v>
      </c>
      <c r="AI198" s="161">
        <v>0.16</v>
      </c>
      <c r="AJ198" s="268">
        <v>64.2</v>
      </c>
      <c r="AK198" s="98">
        <v>2</v>
      </c>
      <c r="AL198" s="98">
        <f t="shared" si="41"/>
        <v>20.544</v>
      </c>
      <c r="AM198" s="161">
        <f t="shared" si="39"/>
        <v>10.272</v>
      </c>
      <c r="AN198" s="218">
        <f t="shared" si="40"/>
        <v>10.272</v>
      </c>
    </row>
    <row r="199" spans="29:40" x14ac:dyDescent="0.25">
      <c r="AC199" s="156">
        <v>7</v>
      </c>
      <c r="AD199" s="161"/>
      <c r="AE199" s="217">
        <v>45008</v>
      </c>
      <c r="AF199" s="161" t="s">
        <v>169</v>
      </c>
      <c r="AG199" s="161" t="s">
        <v>281</v>
      </c>
      <c r="AH199" s="161" t="s">
        <v>292</v>
      </c>
      <c r="AI199" s="161">
        <v>0.22</v>
      </c>
      <c r="AJ199" s="268">
        <v>265</v>
      </c>
      <c r="AK199" s="223">
        <v>3</v>
      </c>
      <c r="AL199" s="98">
        <f t="shared" si="41"/>
        <v>174.89999999999998</v>
      </c>
      <c r="AM199" s="161">
        <f t="shared" si="39"/>
        <v>58.3</v>
      </c>
      <c r="AN199" s="218">
        <f t="shared" si="40"/>
        <v>116.59999999999998</v>
      </c>
    </row>
    <row r="200" spans="29:40" ht="16.5" thickBot="1" x14ac:dyDescent="0.3">
      <c r="AC200" s="160">
        <v>8</v>
      </c>
      <c r="AD200" s="161"/>
      <c r="AE200" s="217">
        <v>45062</v>
      </c>
      <c r="AF200" s="161" t="s">
        <v>169</v>
      </c>
      <c r="AG200" s="161" t="s">
        <v>281</v>
      </c>
      <c r="AH200" s="161" t="s">
        <v>293</v>
      </c>
      <c r="AI200" s="161">
        <v>0.2</v>
      </c>
      <c r="AJ200" s="268">
        <v>265</v>
      </c>
      <c r="AK200" s="98">
        <v>2</v>
      </c>
      <c r="AL200" s="98">
        <f t="shared" si="41"/>
        <v>106</v>
      </c>
      <c r="AM200" s="161">
        <f t="shared" si="39"/>
        <v>53</v>
      </c>
      <c r="AN200" s="218">
        <f t="shared" si="40"/>
        <v>53</v>
      </c>
    </row>
    <row r="201" spans="29:40" x14ac:dyDescent="0.25">
      <c r="AC201" s="156">
        <v>9</v>
      </c>
      <c r="AD201" s="161"/>
      <c r="AE201" s="217">
        <v>45089</v>
      </c>
      <c r="AF201" s="161" t="s">
        <v>169</v>
      </c>
      <c r="AG201" s="161" t="s">
        <v>281</v>
      </c>
      <c r="AH201" s="161" t="s">
        <v>294</v>
      </c>
      <c r="AI201" s="161">
        <v>0.35</v>
      </c>
      <c r="AJ201" s="268">
        <v>265</v>
      </c>
      <c r="AK201" s="98">
        <v>2</v>
      </c>
      <c r="AL201" s="98">
        <f t="shared" si="41"/>
        <v>185.5</v>
      </c>
      <c r="AM201" s="161">
        <f t="shared" si="39"/>
        <v>92.75</v>
      </c>
      <c r="AN201" s="218">
        <f t="shared" si="40"/>
        <v>92.75</v>
      </c>
    </row>
    <row r="202" spans="29:40" ht="16.5" thickBot="1" x14ac:dyDescent="0.3">
      <c r="AC202" s="160">
        <v>10</v>
      </c>
      <c r="AD202" s="161"/>
      <c r="AE202" s="217">
        <v>45099</v>
      </c>
      <c r="AF202" s="161" t="s">
        <v>169</v>
      </c>
      <c r="AG202" s="161" t="s">
        <v>295</v>
      </c>
      <c r="AH202" s="161" t="s">
        <v>296</v>
      </c>
      <c r="AI202" s="161">
        <v>0.22</v>
      </c>
      <c r="AJ202" s="268">
        <f>120.2*2</f>
        <v>240.4</v>
      </c>
      <c r="AK202" s="98">
        <v>2</v>
      </c>
      <c r="AL202" s="98">
        <f t="shared" si="41"/>
        <v>105.776</v>
      </c>
      <c r="AM202" s="161">
        <f t="shared" si="39"/>
        <v>52.887999999999998</v>
      </c>
      <c r="AN202" s="218">
        <f t="shared" si="40"/>
        <v>52.887999999999998</v>
      </c>
    </row>
    <row r="203" spans="29:40" x14ac:dyDescent="0.25">
      <c r="AC203" s="156">
        <v>11</v>
      </c>
      <c r="AD203" s="161"/>
      <c r="AE203" s="217">
        <v>45134</v>
      </c>
      <c r="AF203" s="161" t="s">
        <v>169</v>
      </c>
      <c r="AG203" s="161" t="s">
        <v>113</v>
      </c>
      <c r="AH203" s="161" t="s">
        <v>292</v>
      </c>
      <c r="AI203" s="161">
        <v>0.22</v>
      </c>
      <c r="AJ203" s="268">
        <f>146.4*2</f>
        <v>292.8</v>
      </c>
      <c r="AK203" s="98">
        <v>2</v>
      </c>
      <c r="AL203" s="98">
        <f t="shared" si="41"/>
        <v>128.83199999999999</v>
      </c>
      <c r="AM203" s="161">
        <f t="shared" si="39"/>
        <v>64.415999999999997</v>
      </c>
      <c r="AN203" s="218">
        <f t="shared" si="40"/>
        <v>64.415999999999997</v>
      </c>
    </row>
    <row r="204" spans="29:40" ht="16.5" thickBot="1" x14ac:dyDescent="0.3">
      <c r="AC204" s="160">
        <v>12</v>
      </c>
      <c r="AD204" s="161"/>
      <c r="AE204" s="217">
        <v>45148</v>
      </c>
      <c r="AF204" s="161" t="s">
        <v>169</v>
      </c>
      <c r="AG204" s="161" t="s">
        <v>281</v>
      </c>
      <c r="AH204" s="161" t="s">
        <v>292</v>
      </c>
      <c r="AI204" s="161">
        <v>0.22</v>
      </c>
      <c r="AJ204" s="268">
        <v>265</v>
      </c>
      <c r="AK204" s="98">
        <v>3</v>
      </c>
      <c r="AL204" s="98">
        <f t="shared" si="41"/>
        <v>174.89999999999998</v>
      </c>
      <c r="AM204" s="161">
        <f t="shared" si="39"/>
        <v>58.3</v>
      </c>
      <c r="AN204" s="218">
        <f t="shared" si="40"/>
        <v>116.59999999999998</v>
      </c>
    </row>
    <row r="205" spans="29:40" x14ac:dyDescent="0.25">
      <c r="AC205" s="156">
        <v>13</v>
      </c>
      <c r="AD205" s="161"/>
      <c r="AE205" s="217">
        <v>45168</v>
      </c>
      <c r="AF205" s="161" t="s">
        <v>169</v>
      </c>
      <c r="AG205" s="161" t="s">
        <v>281</v>
      </c>
      <c r="AH205" s="161" t="s">
        <v>297</v>
      </c>
      <c r="AI205" s="161">
        <v>0.11</v>
      </c>
      <c r="AJ205" s="268">
        <v>265</v>
      </c>
      <c r="AK205" s="98">
        <v>2</v>
      </c>
      <c r="AL205" s="98">
        <f t="shared" si="41"/>
        <v>58.3</v>
      </c>
      <c r="AM205" s="161">
        <f t="shared" si="39"/>
        <v>29.15</v>
      </c>
      <c r="AN205" s="218">
        <f t="shared" si="40"/>
        <v>29.15</v>
      </c>
    </row>
    <row r="206" spans="29:40" ht="16.5" thickBot="1" x14ac:dyDescent="0.3">
      <c r="AC206" s="160">
        <v>14</v>
      </c>
      <c r="AD206" s="161"/>
      <c r="AE206" s="217">
        <v>45173</v>
      </c>
      <c r="AF206" s="161" t="s">
        <v>169</v>
      </c>
      <c r="AG206" s="161" t="s">
        <v>113</v>
      </c>
      <c r="AH206" s="269" t="s">
        <v>298</v>
      </c>
      <c r="AI206" s="85">
        <v>0.27</v>
      </c>
      <c r="AJ206" s="268">
        <v>292.8</v>
      </c>
      <c r="AK206" s="98">
        <v>2</v>
      </c>
      <c r="AL206" s="98">
        <f>AI205*AJ206*AK206</f>
        <v>64.415999999999997</v>
      </c>
      <c r="AM206" s="161">
        <f>AI205*AJ206</f>
        <v>32.207999999999998</v>
      </c>
      <c r="AN206" s="218">
        <f t="shared" si="40"/>
        <v>32.207999999999998</v>
      </c>
    </row>
    <row r="207" spans="29:40" x14ac:dyDescent="0.25">
      <c r="AC207" s="156">
        <v>15</v>
      </c>
      <c r="AD207" s="161"/>
      <c r="AE207" s="217">
        <v>45174</v>
      </c>
      <c r="AF207" s="161" t="s">
        <v>169</v>
      </c>
      <c r="AG207" s="161" t="s">
        <v>281</v>
      </c>
      <c r="AH207" s="270" t="s">
        <v>286</v>
      </c>
      <c r="AI207" s="161">
        <v>0.28999999999999998</v>
      </c>
      <c r="AJ207" s="268">
        <f>132.5*2</f>
        <v>265</v>
      </c>
      <c r="AK207" s="98">
        <v>4</v>
      </c>
      <c r="AL207" s="98">
        <f t="shared" si="41"/>
        <v>307.39999999999998</v>
      </c>
      <c r="AM207" s="161">
        <f t="shared" si="39"/>
        <v>76.849999999999994</v>
      </c>
      <c r="AN207" s="218">
        <f t="shared" si="40"/>
        <v>230.54999999999998</v>
      </c>
    </row>
    <row r="208" spans="29:40" ht="16.5" thickBot="1" x14ac:dyDescent="0.3">
      <c r="AC208" s="160">
        <v>16</v>
      </c>
      <c r="AD208" s="161"/>
      <c r="AE208" s="217">
        <v>45210</v>
      </c>
      <c r="AF208" s="161" t="s">
        <v>169</v>
      </c>
      <c r="AG208" s="161" t="s">
        <v>281</v>
      </c>
      <c r="AH208" s="269" t="s">
        <v>293</v>
      </c>
      <c r="AI208" s="161">
        <v>0.2</v>
      </c>
      <c r="AJ208" s="268">
        <f>132.5*2</f>
        <v>265</v>
      </c>
      <c r="AK208" s="98">
        <v>3</v>
      </c>
      <c r="AL208" s="98">
        <f t="shared" si="41"/>
        <v>159</v>
      </c>
      <c r="AM208" s="161">
        <f t="shared" si="39"/>
        <v>53</v>
      </c>
      <c r="AN208" s="218">
        <f t="shared" si="40"/>
        <v>106</v>
      </c>
    </row>
    <row r="209" spans="29:40" x14ac:dyDescent="0.25">
      <c r="AC209" s="156">
        <v>17</v>
      </c>
      <c r="AD209" s="161"/>
      <c r="AE209" s="217">
        <v>45226</v>
      </c>
      <c r="AF209" s="161" t="s">
        <v>169</v>
      </c>
      <c r="AG209" s="161" t="s">
        <v>295</v>
      </c>
      <c r="AH209" s="270" t="s">
        <v>286</v>
      </c>
      <c r="AI209" s="161">
        <v>0.28999999999999998</v>
      </c>
      <c r="AJ209" s="268">
        <f>120.2*2</f>
        <v>240.4</v>
      </c>
      <c r="AK209" s="98">
        <v>2</v>
      </c>
      <c r="AL209" s="98">
        <f t="shared" si="41"/>
        <v>139.43199999999999</v>
      </c>
      <c r="AM209" s="161">
        <f t="shared" si="39"/>
        <v>69.715999999999994</v>
      </c>
      <c r="AN209" s="218">
        <f t="shared" si="40"/>
        <v>69.715999999999994</v>
      </c>
    </row>
    <row r="210" spans="29:40" ht="16.5" thickBot="1" x14ac:dyDescent="0.3">
      <c r="AC210" s="160">
        <v>18</v>
      </c>
      <c r="AD210" s="161"/>
      <c r="AE210" s="217">
        <v>45245</v>
      </c>
      <c r="AF210" s="161" t="s">
        <v>169</v>
      </c>
      <c r="AG210" s="161" t="s">
        <v>281</v>
      </c>
      <c r="AH210" s="270" t="s">
        <v>299</v>
      </c>
      <c r="AI210" s="161">
        <v>7.0000000000000007E-2</v>
      </c>
      <c r="AJ210" s="268">
        <v>132.5</v>
      </c>
      <c r="AK210" s="98">
        <v>3</v>
      </c>
      <c r="AL210" s="98">
        <f t="shared" si="41"/>
        <v>27.825000000000003</v>
      </c>
      <c r="AM210" s="161">
        <f t="shared" si="39"/>
        <v>9.2750000000000004</v>
      </c>
      <c r="AN210" s="218">
        <f t="shared" si="40"/>
        <v>18.550000000000004</v>
      </c>
    </row>
    <row r="211" spans="29:40" x14ac:dyDescent="0.25">
      <c r="AC211" s="156">
        <v>19</v>
      </c>
      <c r="AD211" s="161"/>
      <c r="AE211" s="217">
        <v>45245</v>
      </c>
      <c r="AF211" s="161" t="s">
        <v>169</v>
      </c>
      <c r="AG211" s="161" t="s">
        <v>281</v>
      </c>
      <c r="AH211" s="161" t="s">
        <v>300</v>
      </c>
      <c r="AI211" s="161">
        <v>0.26</v>
      </c>
      <c r="AJ211" s="268">
        <v>132.5</v>
      </c>
      <c r="AK211" s="98">
        <v>3</v>
      </c>
      <c r="AL211" s="98">
        <f t="shared" ref="AL211" si="42">AI211*AJ211*AK211</f>
        <v>103.35000000000001</v>
      </c>
      <c r="AM211" s="161">
        <f t="shared" ref="AM211" si="43">AI211*AJ211</f>
        <v>34.450000000000003</v>
      </c>
      <c r="AN211" s="218">
        <f t="shared" ref="AN211" si="44">AL211-AM211</f>
        <v>68.900000000000006</v>
      </c>
    </row>
    <row r="212" spans="29:40" ht="16.5" thickBot="1" x14ac:dyDescent="0.3">
      <c r="AC212" s="160">
        <v>20</v>
      </c>
      <c r="AD212" s="161"/>
      <c r="AE212" s="217">
        <v>45251</v>
      </c>
      <c r="AF212" s="161" t="s">
        <v>169</v>
      </c>
      <c r="AG212" s="161" t="s">
        <v>243</v>
      </c>
      <c r="AH212" s="161" t="s">
        <v>291</v>
      </c>
      <c r="AI212" s="161">
        <v>0.16</v>
      </c>
      <c r="AJ212" s="268">
        <v>64.2</v>
      </c>
      <c r="AK212" s="98">
        <v>2</v>
      </c>
      <c r="AL212" s="98">
        <f t="shared" si="41"/>
        <v>20.544</v>
      </c>
      <c r="AM212" s="161">
        <f t="shared" si="39"/>
        <v>10.272</v>
      </c>
      <c r="AN212" s="218">
        <f t="shared" si="40"/>
        <v>10.272</v>
      </c>
    </row>
    <row r="213" spans="29:40" x14ac:dyDescent="0.25">
      <c r="AC213" s="156">
        <v>21</v>
      </c>
      <c r="AD213" s="161"/>
      <c r="AE213" s="217">
        <v>45258</v>
      </c>
      <c r="AF213" s="161" t="s">
        <v>169</v>
      </c>
      <c r="AG213" s="161" t="s">
        <v>301</v>
      </c>
      <c r="AH213" s="161" t="s">
        <v>292</v>
      </c>
      <c r="AI213" s="161">
        <v>0.22</v>
      </c>
      <c r="AJ213" s="268">
        <f>25.5*2</f>
        <v>51</v>
      </c>
      <c r="AK213" s="98">
        <v>2</v>
      </c>
      <c r="AL213" s="98">
        <f t="shared" si="41"/>
        <v>22.44</v>
      </c>
      <c r="AM213" s="161">
        <f t="shared" si="39"/>
        <v>11.22</v>
      </c>
      <c r="AN213" s="218">
        <f t="shared" si="40"/>
        <v>11.22</v>
      </c>
    </row>
    <row r="214" spans="29:40" x14ac:dyDescent="0.25">
      <c r="AC214" s="160">
        <v>22</v>
      </c>
      <c r="AD214" s="161"/>
      <c r="AE214" s="217">
        <v>45259</v>
      </c>
      <c r="AF214" s="161" t="s">
        <v>169</v>
      </c>
      <c r="AG214" s="161" t="s">
        <v>281</v>
      </c>
      <c r="AH214" s="270" t="s">
        <v>286</v>
      </c>
      <c r="AI214" s="161">
        <v>0.28999999999999998</v>
      </c>
      <c r="AJ214" s="268">
        <v>265</v>
      </c>
      <c r="AK214" s="98">
        <v>2</v>
      </c>
      <c r="AL214" s="98">
        <f t="shared" si="41"/>
        <v>153.69999999999999</v>
      </c>
      <c r="AM214" s="161">
        <f t="shared" si="39"/>
        <v>76.849999999999994</v>
      </c>
      <c r="AN214" s="218">
        <f t="shared" si="40"/>
        <v>76.849999999999994</v>
      </c>
    </row>
    <row r="215" spans="29:40" x14ac:dyDescent="0.25">
      <c r="AC215" s="160">
        <v>22</v>
      </c>
      <c r="AD215" s="161"/>
      <c r="AK215" s="98"/>
      <c r="AL215" s="98">
        <f t="shared" si="41"/>
        <v>0</v>
      </c>
      <c r="AM215" s="161">
        <f t="shared" si="39"/>
        <v>0</v>
      </c>
      <c r="AN215" s="218">
        <f t="shared" si="40"/>
        <v>0</v>
      </c>
    </row>
    <row r="216" spans="29:40" x14ac:dyDescent="0.25">
      <c r="AC216" s="160">
        <v>23</v>
      </c>
      <c r="AD216" s="161"/>
      <c r="AE216" s="217"/>
      <c r="AF216" s="161" t="s">
        <v>169</v>
      </c>
      <c r="AG216" s="161"/>
      <c r="AH216" s="161"/>
      <c r="AI216" s="161"/>
      <c r="AJ216" s="161"/>
      <c r="AK216" s="98"/>
      <c r="AL216" s="98">
        <f t="shared" si="41"/>
        <v>0</v>
      </c>
      <c r="AM216" s="161">
        <f t="shared" si="39"/>
        <v>0</v>
      </c>
      <c r="AN216" s="218">
        <f t="shared" si="40"/>
        <v>0</v>
      </c>
    </row>
    <row r="217" spans="29:40" ht="16.5" thickBot="1" x14ac:dyDescent="0.3">
      <c r="AC217" s="160">
        <v>24</v>
      </c>
      <c r="AD217" s="161"/>
      <c r="AE217" s="217"/>
      <c r="AF217" s="161" t="s">
        <v>169</v>
      </c>
      <c r="AG217" s="161"/>
      <c r="AH217" s="161"/>
      <c r="AI217" s="161"/>
      <c r="AJ217" s="161"/>
      <c r="AK217" s="98"/>
      <c r="AL217" s="98">
        <f t="shared" si="41"/>
        <v>0</v>
      </c>
      <c r="AM217" s="161">
        <f t="shared" si="39"/>
        <v>0</v>
      </c>
      <c r="AN217" s="218">
        <f t="shared" si="40"/>
        <v>0</v>
      </c>
    </row>
    <row r="218" spans="29:40" ht="16.5" thickBot="1" x14ac:dyDescent="0.3">
      <c r="AC218" s="526" t="s">
        <v>0</v>
      </c>
      <c r="AD218" s="527"/>
      <c r="AE218" s="527"/>
      <c r="AF218" s="527"/>
      <c r="AG218" s="527"/>
      <c r="AH218" s="527"/>
      <c r="AI218" s="528"/>
      <c r="AJ218" s="222">
        <f>SUM(AJ193:AJ217)</f>
        <v>4327.8000000000011</v>
      </c>
      <c r="AK218" s="202"/>
      <c r="AL218" s="202"/>
      <c r="AM218" s="203"/>
      <c r="AN218" s="203">
        <f>SUM(AN193:AN217)</f>
        <v>1334.7139999999997</v>
      </c>
    </row>
  </sheetData>
  <mergeCells count="343">
    <mergeCell ref="AC218:AI218"/>
    <mergeCell ref="AC149:AI149"/>
    <mergeCell ref="AC152:AN154"/>
    <mergeCell ref="AC155:AN155"/>
    <mergeCell ref="AC158:AN160"/>
    <mergeCell ref="AC186:AI186"/>
    <mergeCell ref="AC189:AN191"/>
    <mergeCell ref="F137:H137"/>
    <mergeCell ref="T137:AA137"/>
    <mergeCell ref="AC137:AN139"/>
    <mergeCell ref="T138:AA143"/>
    <mergeCell ref="T144:AA144"/>
    <mergeCell ref="T145:AA146"/>
    <mergeCell ref="AC132:AI132"/>
    <mergeCell ref="T133:AA133"/>
    <mergeCell ref="T134:V134"/>
    <mergeCell ref="W134:X134"/>
    <mergeCell ref="Y134:AA134"/>
    <mergeCell ref="E135:H136"/>
    <mergeCell ref="W135:X136"/>
    <mergeCell ref="I131:J131"/>
    <mergeCell ref="K131:L131"/>
    <mergeCell ref="M131:P132"/>
    <mergeCell ref="Z131:AA132"/>
    <mergeCell ref="I132:J132"/>
    <mergeCell ref="K132:L132"/>
    <mergeCell ref="P123:P125"/>
    <mergeCell ref="X129:AA129"/>
    <mergeCell ref="A130:C130"/>
    <mergeCell ref="D130:E130"/>
    <mergeCell ref="F130:H130"/>
    <mergeCell ref="I130:L130"/>
    <mergeCell ref="M130:P130"/>
    <mergeCell ref="X130:Y130"/>
    <mergeCell ref="Z130:AA130"/>
    <mergeCell ref="T123:W132"/>
    <mergeCell ref="X123:AA123"/>
    <mergeCell ref="A126:H126"/>
    <mergeCell ref="I126:P126"/>
    <mergeCell ref="X126:AA126"/>
    <mergeCell ref="A127:H128"/>
    <mergeCell ref="I127:P128"/>
    <mergeCell ref="X127:AA128"/>
    <mergeCell ref="A129:H129"/>
    <mergeCell ref="I129:P129"/>
    <mergeCell ref="A112:H115"/>
    <mergeCell ref="I112:P115"/>
    <mergeCell ref="T114:AA114"/>
    <mergeCell ref="T115:W115"/>
    <mergeCell ref="X115:AA115"/>
    <mergeCell ref="A116:H116"/>
    <mergeCell ref="I116:P116"/>
    <mergeCell ref="T116:W121"/>
    <mergeCell ref="X116:AA121"/>
    <mergeCell ref="A117:H117"/>
    <mergeCell ref="I117:L117"/>
    <mergeCell ref="M117:P117"/>
    <mergeCell ref="A118:H118"/>
    <mergeCell ref="A119:H125"/>
    <mergeCell ref="K119:K122"/>
    <mergeCell ref="T122:W122"/>
    <mergeCell ref="X122:AA122"/>
    <mergeCell ref="I123:I125"/>
    <mergeCell ref="J123:J125"/>
    <mergeCell ref="K123:K125"/>
    <mergeCell ref="L123:L125"/>
    <mergeCell ref="M123:M125"/>
    <mergeCell ref="N123:N125"/>
    <mergeCell ref="O123:O125"/>
    <mergeCell ref="M106:P107"/>
    <mergeCell ref="I107:J107"/>
    <mergeCell ref="K107:L107"/>
    <mergeCell ref="A101:H101"/>
    <mergeCell ref="I101:P101"/>
    <mergeCell ref="A102:H103"/>
    <mergeCell ref="I102:P103"/>
    <mergeCell ref="T109:AA109"/>
    <mergeCell ref="A110:P110"/>
    <mergeCell ref="T110:AA111"/>
    <mergeCell ref="A111:H111"/>
    <mergeCell ref="I111:P111"/>
    <mergeCell ref="T102:AA102"/>
    <mergeCell ref="T103:AA108"/>
    <mergeCell ref="A104:H104"/>
    <mergeCell ref="I104:P104"/>
    <mergeCell ref="A105:C105"/>
    <mergeCell ref="D105:E105"/>
    <mergeCell ref="F105:H105"/>
    <mergeCell ref="I105:L105"/>
    <mergeCell ref="M105:P105"/>
    <mergeCell ref="I106:J106"/>
    <mergeCell ref="K106:L106"/>
    <mergeCell ref="W99:X99"/>
    <mergeCell ref="Y99:AA99"/>
    <mergeCell ref="W100:X101"/>
    <mergeCell ref="I98:I100"/>
    <mergeCell ref="J98:J100"/>
    <mergeCell ref="K98:K100"/>
    <mergeCell ref="L98:L100"/>
    <mergeCell ref="M98:M100"/>
    <mergeCell ref="N98:N100"/>
    <mergeCell ref="A87:H90"/>
    <mergeCell ref="I87:P90"/>
    <mergeCell ref="T87:W87"/>
    <mergeCell ref="X87:AA87"/>
    <mergeCell ref="T88:W97"/>
    <mergeCell ref="X88:AA88"/>
    <mergeCell ref="A91:H91"/>
    <mergeCell ref="I91:P91"/>
    <mergeCell ref="X91:AA91"/>
    <mergeCell ref="A92:H92"/>
    <mergeCell ref="I92:L92"/>
    <mergeCell ref="M92:P92"/>
    <mergeCell ref="X92:AA93"/>
    <mergeCell ref="A93:H93"/>
    <mergeCell ref="A94:H100"/>
    <mergeCell ref="K94:K97"/>
    <mergeCell ref="X94:AA94"/>
    <mergeCell ref="X95:Y95"/>
    <mergeCell ref="Z95:AA95"/>
    <mergeCell ref="Z96:AA97"/>
    <mergeCell ref="O98:O100"/>
    <mergeCell ref="P98:P100"/>
    <mergeCell ref="T98:AA98"/>
    <mergeCell ref="T99:V99"/>
    <mergeCell ref="AC81:AL81"/>
    <mergeCell ref="I82:J82"/>
    <mergeCell ref="K82:L82"/>
    <mergeCell ref="AC84:AN86"/>
    <mergeCell ref="A85:P85"/>
    <mergeCell ref="A86:H86"/>
    <mergeCell ref="I86:P86"/>
    <mergeCell ref="T80:W80"/>
    <mergeCell ref="X80:AA80"/>
    <mergeCell ref="I81:J81"/>
    <mergeCell ref="K81:L81"/>
    <mergeCell ref="M81:P82"/>
    <mergeCell ref="T81:W86"/>
    <mergeCell ref="X81:AA86"/>
    <mergeCell ref="A77:H78"/>
    <mergeCell ref="I77:P78"/>
    <mergeCell ref="A79:H79"/>
    <mergeCell ref="I79:P79"/>
    <mergeCell ref="T79:AA79"/>
    <mergeCell ref="A80:C80"/>
    <mergeCell ref="D80:E80"/>
    <mergeCell ref="F80:H80"/>
    <mergeCell ref="I80:L80"/>
    <mergeCell ref="M80:P80"/>
    <mergeCell ref="O73:O75"/>
    <mergeCell ref="P73:P75"/>
    <mergeCell ref="T74:AA74"/>
    <mergeCell ref="T75:AA76"/>
    <mergeCell ref="A76:H76"/>
    <mergeCell ref="I76:P76"/>
    <mergeCell ref="A68:H68"/>
    <mergeCell ref="T68:AA73"/>
    <mergeCell ref="A69:H75"/>
    <mergeCell ref="K69:K72"/>
    <mergeCell ref="I73:I75"/>
    <mergeCell ref="J73:J75"/>
    <mergeCell ref="K73:K75"/>
    <mergeCell ref="L73:L75"/>
    <mergeCell ref="M73:M75"/>
    <mergeCell ref="N73:N75"/>
    <mergeCell ref="K56:L56"/>
    <mergeCell ref="M56:P57"/>
    <mergeCell ref="A66:H66"/>
    <mergeCell ref="I66:P66"/>
    <mergeCell ref="A67:H67"/>
    <mergeCell ref="I67:L67"/>
    <mergeCell ref="M67:P67"/>
    <mergeCell ref="T67:AA67"/>
    <mergeCell ref="A61:H61"/>
    <mergeCell ref="I61:P61"/>
    <mergeCell ref="Z61:AA62"/>
    <mergeCell ref="A62:H65"/>
    <mergeCell ref="I62:P65"/>
    <mergeCell ref="T63:AA63"/>
    <mergeCell ref="T64:V64"/>
    <mergeCell ref="W64:X64"/>
    <mergeCell ref="Y64:AA64"/>
    <mergeCell ref="W65:X66"/>
    <mergeCell ref="I51:P51"/>
    <mergeCell ref="A52:H53"/>
    <mergeCell ref="I52:P53"/>
    <mergeCell ref="T52:W52"/>
    <mergeCell ref="X52:AA52"/>
    <mergeCell ref="T53:W62"/>
    <mergeCell ref="X53:AA53"/>
    <mergeCell ref="A54:H54"/>
    <mergeCell ref="I54:P54"/>
    <mergeCell ref="X56:AA56"/>
    <mergeCell ref="I57:J57"/>
    <mergeCell ref="K57:L57"/>
    <mergeCell ref="X57:AA58"/>
    <mergeCell ref="X59:AA59"/>
    <mergeCell ref="A60:P60"/>
    <mergeCell ref="X60:Y60"/>
    <mergeCell ref="Z60:AA60"/>
    <mergeCell ref="A55:C55"/>
    <mergeCell ref="D55:E55"/>
    <mergeCell ref="F55:H55"/>
    <mergeCell ref="I55:L55"/>
    <mergeCell ref="M55:P55"/>
    <mergeCell ref="D56:E57"/>
    <mergeCell ref="I56:J56"/>
    <mergeCell ref="T44:AA44"/>
    <mergeCell ref="T45:W45"/>
    <mergeCell ref="X45:AA45"/>
    <mergeCell ref="T46:W51"/>
    <mergeCell ref="X46:AA51"/>
    <mergeCell ref="I48:I50"/>
    <mergeCell ref="J48:J50"/>
    <mergeCell ref="T40:AA40"/>
    <mergeCell ref="A41:H41"/>
    <mergeCell ref="I41:P41"/>
    <mergeCell ref="T41:AA42"/>
    <mergeCell ref="A42:H42"/>
    <mergeCell ref="I42:L42"/>
    <mergeCell ref="M42:P42"/>
    <mergeCell ref="K48:K50"/>
    <mergeCell ref="L48:L50"/>
    <mergeCell ref="M48:M50"/>
    <mergeCell ref="N48:N50"/>
    <mergeCell ref="O48:O50"/>
    <mergeCell ref="P48:P50"/>
    <mergeCell ref="A43:H43"/>
    <mergeCell ref="A44:H50"/>
    <mergeCell ref="K44:K47"/>
    <mergeCell ref="A51:H51"/>
    <mergeCell ref="D31:E32"/>
    <mergeCell ref="I31:J31"/>
    <mergeCell ref="K31:L31"/>
    <mergeCell ref="M31:P32"/>
    <mergeCell ref="W31:X32"/>
    <mergeCell ref="I32:J32"/>
    <mergeCell ref="K32:L32"/>
    <mergeCell ref="AQ32:AY34"/>
    <mergeCell ref="T33:AA33"/>
    <mergeCell ref="T34:AA39"/>
    <mergeCell ref="A35:P35"/>
    <mergeCell ref="AQ35:AU35"/>
    <mergeCell ref="AV35:AY35"/>
    <mergeCell ref="A36:H36"/>
    <mergeCell ref="I36:P36"/>
    <mergeCell ref="A37:H40"/>
    <mergeCell ref="I37:P40"/>
    <mergeCell ref="BB27:BD27"/>
    <mergeCell ref="A29:H29"/>
    <mergeCell ref="I29:P29"/>
    <mergeCell ref="T29:AA29"/>
    <mergeCell ref="A30:C30"/>
    <mergeCell ref="D30:E30"/>
    <mergeCell ref="F30:H30"/>
    <mergeCell ref="I30:L30"/>
    <mergeCell ref="M30:P30"/>
    <mergeCell ref="T30:V30"/>
    <mergeCell ref="A27:H28"/>
    <mergeCell ref="I27:P28"/>
    <mergeCell ref="Z27:AA28"/>
    <mergeCell ref="AO27:AV29"/>
    <mergeCell ref="AW27:AY27"/>
    <mergeCell ref="AZ27:BA27"/>
    <mergeCell ref="W30:X30"/>
    <mergeCell ref="Y30:AA30"/>
    <mergeCell ref="BA23:BD25"/>
    <mergeCell ref="AW24:AX25"/>
    <mergeCell ref="AY24:AZ25"/>
    <mergeCell ref="X25:AA25"/>
    <mergeCell ref="A26:H26"/>
    <mergeCell ref="I26:P26"/>
    <mergeCell ref="X26:Y26"/>
    <mergeCell ref="Z26:AA26"/>
    <mergeCell ref="AO26:AV26"/>
    <mergeCell ref="AW26:BD26"/>
    <mergeCell ref="BA19:BA20"/>
    <mergeCell ref="BB19:BB20"/>
    <mergeCell ref="BC19:BD20"/>
    <mergeCell ref="AW21:BD21"/>
    <mergeCell ref="A19:H25"/>
    <mergeCell ref="K19:K22"/>
    <mergeCell ref="T19:W28"/>
    <mergeCell ref="X19:AA19"/>
    <mergeCell ref="AO19:AV25"/>
    <mergeCell ref="AW19:AX20"/>
    <mergeCell ref="X22:AA22"/>
    <mergeCell ref="AW22:AZ22"/>
    <mergeCell ref="AW23:AX23"/>
    <mergeCell ref="AY23:AZ23"/>
    <mergeCell ref="BA22:BD22"/>
    <mergeCell ref="I23:I25"/>
    <mergeCell ref="J23:J25"/>
    <mergeCell ref="K23:K25"/>
    <mergeCell ref="L23:L25"/>
    <mergeCell ref="M23:M25"/>
    <mergeCell ref="N23:N25"/>
    <mergeCell ref="O23:O25"/>
    <mergeCell ref="P23:P25"/>
    <mergeCell ref="X23:AA24"/>
    <mergeCell ref="X18:AA18"/>
    <mergeCell ref="AO18:AV18"/>
    <mergeCell ref="A17:H17"/>
    <mergeCell ref="I17:L17"/>
    <mergeCell ref="M17:P17"/>
    <mergeCell ref="AO17:AV17"/>
    <mergeCell ref="AW17:AX18"/>
    <mergeCell ref="AY17:AZ17"/>
    <mergeCell ref="AY19:AY20"/>
    <mergeCell ref="AZ19:AZ20"/>
    <mergeCell ref="A10:P10"/>
    <mergeCell ref="T10:AA10"/>
    <mergeCell ref="AC10:AM12"/>
    <mergeCell ref="AO10:BD10"/>
    <mergeCell ref="A11:H11"/>
    <mergeCell ref="I11:P11"/>
    <mergeCell ref="T11:W11"/>
    <mergeCell ref="X11:AA11"/>
    <mergeCell ref="AO11:AV11"/>
    <mergeCell ref="AW11:BD11"/>
    <mergeCell ref="A12:H15"/>
    <mergeCell ref="I12:P15"/>
    <mergeCell ref="T12:W17"/>
    <mergeCell ref="X12:AA17"/>
    <mergeCell ref="AO12:AV15"/>
    <mergeCell ref="AW12:BD15"/>
    <mergeCell ref="A16:H16"/>
    <mergeCell ref="I16:P16"/>
    <mergeCell ref="AO16:AV16"/>
    <mergeCell ref="AW16:BD16"/>
    <mergeCell ref="BA17:BB17"/>
    <mergeCell ref="BC17:BD18"/>
    <mergeCell ref="A18:H18"/>
    <mergeCell ref="T18:W18"/>
    <mergeCell ref="A2:BE2"/>
    <mergeCell ref="A3:BE3"/>
    <mergeCell ref="A4:BE4"/>
    <mergeCell ref="A6:C8"/>
    <mergeCell ref="D6:P8"/>
    <mergeCell ref="T6:V8"/>
    <mergeCell ref="W6:AM8"/>
    <mergeCell ref="AP6:AR8"/>
    <mergeCell ref="AS6:BE8"/>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F4A6-437F-46E0-AFD5-4059A8827011}">
  <dimension ref="B2:S18"/>
  <sheetViews>
    <sheetView workbookViewId="0">
      <selection activeCell="B24" sqref="B24"/>
    </sheetView>
  </sheetViews>
  <sheetFormatPr baseColWidth="10" defaultColWidth="10" defaultRowHeight="14.25" x14ac:dyDescent="0.2"/>
  <cols>
    <col min="1" max="1" width="10" style="224"/>
    <col min="2" max="2" width="13" style="224" customWidth="1"/>
    <col min="3" max="3" width="17.875" style="224" customWidth="1"/>
    <col min="4" max="4" width="14.75" style="224" customWidth="1"/>
    <col min="5" max="5" width="15" style="224" customWidth="1"/>
    <col min="6" max="6" width="10" style="224"/>
    <col min="7" max="7" width="14.875" style="224" customWidth="1"/>
    <col min="8" max="8" width="16.625" style="224" customWidth="1"/>
    <col min="9" max="9" width="16.25" style="224" customWidth="1"/>
    <col min="10" max="11" width="10" style="224"/>
    <col min="12" max="12" width="16.375" style="224" customWidth="1"/>
    <col min="13" max="13" width="14.875" style="224" customWidth="1"/>
    <col min="14" max="14" width="14.5" style="224" customWidth="1"/>
    <col min="20" max="16384" width="10" style="224"/>
  </cols>
  <sheetData>
    <row r="2" spans="2:15" x14ac:dyDescent="0.2">
      <c r="B2" s="224" t="s">
        <v>302</v>
      </c>
    </row>
    <row r="3" spans="2:15" ht="15" x14ac:dyDescent="0.25">
      <c r="B3" s="225" t="s">
        <v>303</v>
      </c>
      <c r="D3" s="226"/>
      <c r="E3" s="227"/>
      <c r="H3" s="226"/>
      <c r="I3" s="228"/>
      <c r="M3" s="228"/>
      <c r="O3" s="224"/>
    </row>
    <row r="4" spans="2:15" ht="15" x14ac:dyDescent="0.25">
      <c r="B4" s="229" t="s">
        <v>304</v>
      </c>
      <c r="D4" s="226"/>
      <c r="E4" s="227"/>
      <c r="H4" s="226"/>
      <c r="I4" s="228"/>
      <c r="M4" s="228"/>
      <c r="O4" s="224"/>
    </row>
    <row r="5" spans="2:15" ht="15" x14ac:dyDescent="0.25">
      <c r="B5" s="229" t="s">
        <v>305</v>
      </c>
      <c r="D5" s="230"/>
      <c r="E5" s="230"/>
      <c r="I5" s="231"/>
      <c r="M5" s="231"/>
      <c r="O5" s="224"/>
    </row>
    <row r="6" spans="2:15" ht="15" x14ac:dyDescent="0.2">
      <c r="B6" s="579" t="s">
        <v>306</v>
      </c>
      <c r="C6" s="579" t="s">
        <v>307</v>
      </c>
      <c r="D6" s="581" t="s">
        <v>308</v>
      </c>
      <c r="E6" s="581"/>
      <c r="F6" s="581"/>
      <c r="G6" s="581"/>
      <c r="H6" s="581"/>
      <c r="I6" s="582" t="s">
        <v>309</v>
      </c>
      <c r="J6" s="583"/>
      <c r="K6" s="583"/>
      <c r="L6" s="583"/>
      <c r="M6" s="584"/>
      <c r="N6" s="585" t="s">
        <v>310</v>
      </c>
      <c r="O6" s="224"/>
    </row>
    <row r="7" spans="2:15" ht="30" x14ac:dyDescent="0.2">
      <c r="B7" s="580"/>
      <c r="C7" s="580"/>
      <c r="D7" s="232" t="s">
        <v>311</v>
      </c>
      <c r="E7" s="232" t="s">
        <v>312</v>
      </c>
      <c r="F7" s="232" t="s">
        <v>313</v>
      </c>
      <c r="G7" s="232" t="s">
        <v>314</v>
      </c>
      <c r="H7" s="232" t="s">
        <v>315</v>
      </c>
      <c r="I7" s="232" t="s">
        <v>311</v>
      </c>
      <c r="J7" s="232" t="s">
        <v>312</v>
      </c>
      <c r="K7" s="232" t="s">
        <v>313</v>
      </c>
      <c r="L7" s="232" t="s">
        <v>314</v>
      </c>
      <c r="M7" s="233" t="s">
        <v>315</v>
      </c>
      <c r="N7" s="586"/>
      <c r="O7" s="224"/>
    </row>
    <row r="8" spans="2:15" ht="30" x14ac:dyDescent="0.25">
      <c r="B8" s="234">
        <v>12</v>
      </c>
      <c r="C8" s="234" t="s">
        <v>316</v>
      </c>
      <c r="D8" s="235">
        <v>100</v>
      </c>
      <c r="E8" s="234" t="s">
        <v>317</v>
      </c>
      <c r="F8" s="234">
        <f>4*60</f>
        <v>240</v>
      </c>
      <c r="G8" s="234">
        <f>60*4/1000*B8</f>
        <v>2.88</v>
      </c>
      <c r="H8" s="235">
        <f>G8*D8</f>
        <v>288</v>
      </c>
      <c r="I8" s="235">
        <v>100</v>
      </c>
      <c r="J8" s="234" t="s">
        <v>318</v>
      </c>
      <c r="K8" s="234">
        <v>108</v>
      </c>
      <c r="L8" s="234">
        <f>108/1000*B8</f>
        <v>1.296</v>
      </c>
      <c r="M8" s="236">
        <f>L8*I8</f>
        <v>129.6</v>
      </c>
      <c r="N8" s="237">
        <f>(H8*30*9)-(M8*30*9)</f>
        <v>42768</v>
      </c>
      <c r="O8" s="224"/>
    </row>
    <row r="9" spans="2:15" ht="30" x14ac:dyDescent="0.25">
      <c r="B9" s="234">
        <v>12</v>
      </c>
      <c r="C9" s="234" t="s">
        <v>316</v>
      </c>
      <c r="D9" s="235">
        <v>25</v>
      </c>
      <c r="E9" s="234" t="s">
        <v>319</v>
      </c>
      <c r="F9" s="234">
        <v>295</v>
      </c>
      <c r="G9" s="234">
        <f>295/1000*B9</f>
        <v>3.54</v>
      </c>
      <c r="H9" s="235">
        <f>G9*D9</f>
        <v>88.5</v>
      </c>
      <c r="I9" s="235">
        <v>25</v>
      </c>
      <c r="J9" s="234" t="s">
        <v>318</v>
      </c>
      <c r="K9" s="234">
        <v>108</v>
      </c>
      <c r="L9" s="234">
        <f>108/1000*B9</f>
        <v>1.296</v>
      </c>
      <c r="M9" s="236">
        <f>L9*I9</f>
        <v>32.4</v>
      </c>
      <c r="N9" s="238">
        <f>(H9*30*9)-(M9*30*9)</f>
        <v>15147</v>
      </c>
      <c r="O9" s="224"/>
    </row>
    <row r="10" spans="2:15" ht="15" x14ac:dyDescent="0.2">
      <c r="D10" s="239">
        <f>SUM(D8:D9)</f>
        <v>125</v>
      </c>
      <c r="I10" s="224">
        <f>I8+I9</f>
        <v>125</v>
      </c>
      <c r="M10" s="229" t="s">
        <v>320</v>
      </c>
      <c r="N10" s="240">
        <f>N8+N9</f>
        <v>57915</v>
      </c>
      <c r="O10" s="224"/>
    </row>
    <row r="12" spans="2:15" ht="60" x14ac:dyDescent="0.2">
      <c r="B12" s="241" t="s">
        <v>321</v>
      </c>
      <c r="C12" s="242" t="s">
        <v>307</v>
      </c>
      <c r="D12" s="241" t="s">
        <v>322</v>
      </c>
      <c r="E12" s="241" t="s">
        <v>323</v>
      </c>
      <c r="F12" s="241" t="s">
        <v>324</v>
      </c>
      <c r="G12" s="241" t="s">
        <v>325</v>
      </c>
      <c r="H12" s="241" t="s">
        <v>326</v>
      </c>
      <c r="I12" s="241" t="s">
        <v>327</v>
      </c>
      <c r="J12" s="241" t="s">
        <v>328</v>
      </c>
    </row>
    <row r="13" spans="2:15" ht="28.5" x14ac:dyDescent="0.2">
      <c r="B13" s="243">
        <v>12</v>
      </c>
      <c r="C13" s="244" t="s">
        <v>316</v>
      </c>
      <c r="D13" s="243">
        <v>6</v>
      </c>
      <c r="E13" s="245" t="s">
        <v>329</v>
      </c>
      <c r="F13" s="246">
        <v>80</v>
      </c>
      <c r="G13" s="243">
        <v>50</v>
      </c>
      <c r="H13" s="247">
        <f>(F13*B13/1000)*D13</f>
        <v>5.76</v>
      </c>
      <c r="I13" s="247">
        <f>(G13*B13/1000)*D13</f>
        <v>3.5999999999999996</v>
      </c>
      <c r="J13" s="243">
        <f>(H13-I13)*30*9</f>
        <v>583.20000000000005</v>
      </c>
    </row>
    <row r="14" spans="2:15" ht="28.5" x14ac:dyDescent="0.2">
      <c r="B14" s="243">
        <v>12</v>
      </c>
      <c r="C14" s="244" t="s">
        <v>316</v>
      </c>
      <c r="D14" s="243">
        <v>6</v>
      </c>
      <c r="E14" s="245" t="s">
        <v>330</v>
      </c>
      <c r="F14" s="243">
        <v>108</v>
      </c>
      <c r="G14" s="243">
        <v>0</v>
      </c>
      <c r="H14" s="247">
        <f>(F14*B14/1000)*D14</f>
        <v>7.7759999999999998</v>
      </c>
      <c r="I14" s="247">
        <f>(G14*B14/1000)*D14</f>
        <v>0</v>
      </c>
      <c r="J14" s="243">
        <f>(H14-I14)*30*9</f>
        <v>2099.52</v>
      </c>
    </row>
    <row r="15" spans="2:15" x14ac:dyDescent="0.2">
      <c r="F15" s="229"/>
      <c r="I15" s="229" t="s">
        <v>320</v>
      </c>
      <c r="J15" s="224">
        <f>J13+J14</f>
        <v>2682.7200000000003</v>
      </c>
    </row>
    <row r="16" spans="2:15" x14ac:dyDescent="0.2">
      <c r="I16" s="229" t="s">
        <v>331</v>
      </c>
      <c r="J16" s="224">
        <f>J15+N10</f>
        <v>60597.72</v>
      </c>
    </row>
    <row r="18" spans="5:5" x14ac:dyDescent="0.2">
      <c r="E18" s="224" t="s">
        <v>462</v>
      </c>
    </row>
  </sheetData>
  <mergeCells count="5">
    <mergeCell ref="B6:B7"/>
    <mergeCell ref="C6:C7"/>
    <mergeCell ref="D6:H6"/>
    <mergeCell ref="I6:M6"/>
    <mergeCell ref="N6:N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DD84-23B0-4FF6-ADA8-D6687F626249}">
  <dimension ref="B1:L30"/>
  <sheetViews>
    <sheetView showGridLines="0" topLeftCell="A6" workbookViewId="0">
      <selection activeCell="H19" sqref="H19"/>
    </sheetView>
  </sheetViews>
  <sheetFormatPr baseColWidth="10" defaultColWidth="11" defaultRowHeight="14.25" x14ac:dyDescent="0.2"/>
  <cols>
    <col min="3" max="3" width="14.5" customWidth="1"/>
    <col min="5" max="5" width="15.875" customWidth="1"/>
  </cols>
  <sheetData>
    <row r="1" spans="2:12" ht="15" x14ac:dyDescent="0.25">
      <c r="B1" s="587" t="s">
        <v>332</v>
      </c>
      <c r="C1" s="587"/>
      <c r="D1" s="587"/>
      <c r="E1" s="587"/>
      <c r="F1" s="587"/>
      <c r="G1" s="587"/>
      <c r="H1" s="587"/>
      <c r="I1" s="587"/>
      <c r="J1" s="587"/>
      <c r="K1" s="587"/>
      <c r="L1" s="587"/>
    </row>
    <row r="2" spans="2:12" ht="15" x14ac:dyDescent="0.25">
      <c r="B2" s="248" t="s">
        <v>162</v>
      </c>
      <c r="C2" s="264" t="s">
        <v>333</v>
      </c>
      <c r="D2" s="264" t="s">
        <v>334</v>
      </c>
      <c r="E2" s="264" t="s">
        <v>335</v>
      </c>
      <c r="F2" s="264" t="s">
        <v>336</v>
      </c>
      <c r="G2" s="264" t="s">
        <v>337</v>
      </c>
      <c r="H2" s="264"/>
      <c r="I2" s="264"/>
      <c r="J2" s="264"/>
      <c r="K2" s="264"/>
      <c r="L2" s="264"/>
    </row>
    <row r="3" spans="2:12" ht="15" x14ac:dyDescent="0.25">
      <c r="B3" s="262" t="s">
        <v>338</v>
      </c>
      <c r="C3" s="263">
        <v>394.43</v>
      </c>
      <c r="D3" s="263" t="s">
        <v>339</v>
      </c>
      <c r="E3" s="263">
        <v>106700</v>
      </c>
      <c r="F3" s="263">
        <v>112012</v>
      </c>
      <c r="G3" s="263">
        <v>5312</v>
      </c>
    </row>
    <row r="5" spans="2:12" ht="15" x14ac:dyDescent="0.25">
      <c r="B5" s="588" t="s">
        <v>340</v>
      </c>
      <c r="C5" s="589"/>
    </row>
    <row r="6" spans="2:12" ht="15" x14ac:dyDescent="0.25">
      <c r="B6" s="252">
        <v>2023</v>
      </c>
      <c r="C6" s="266">
        <f>G3/C3</f>
        <v>13.467535430874934</v>
      </c>
    </row>
    <row r="9" spans="2:12" ht="15.75" x14ac:dyDescent="0.25">
      <c r="B9" s="590" t="s">
        <v>341</v>
      </c>
      <c r="C9" s="590"/>
      <c r="D9" s="590"/>
      <c r="E9" s="590"/>
      <c r="F9" s="590"/>
      <c r="G9" s="590"/>
      <c r="H9" s="590"/>
      <c r="I9" s="590"/>
      <c r="J9" s="590"/>
      <c r="K9" s="590"/>
      <c r="L9" s="590"/>
    </row>
    <row r="10" spans="2:12" x14ac:dyDescent="0.2">
      <c r="B10" t="s">
        <v>342</v>
      </c>
      <c r="E10" s="256">
        <f>1730.6-43</f>
        <v>1687.6</v>
      </c>
    </row>
    <row r="11" spans="2:12" x14ac:dyDescent="0.2">
      <c r="B11" t="s">
        <v>343</v>
      </c>
      <c r="E11" s="265">
        <v>5.3400000000000003E-2</v>
      </c>
    </row>
    <row r="12" spans="2:12" x14ac:dyDescent="0.2">
      <c r="B12" s="258" t="s">
        <v>344</v>
      </c>
      <c r="E12">
        <v>2.613</v>
      </c>
    </row>
    <row r="13" spans="2:12" x14ac:dyDescent="0.2">
      <c r="B13" s="592" t="s">
        <v>345</v>
      </c>
      <c r="C13" s="593"/>
      <c r="D13" s="593"/>
      <c r="E13" s="594">
        <f>0.149/1000</f>
        <v>1.4899999999999999E-4</v>
      </c>
    </row>
    <row r="14" spans="2:12" x14ac:dyDescent="0.2">
      <c r="B14" s="593"/>
      <c r="C14" s="593"/>
      <c r="D14" s="593"/>
      <c r="E14" s="594"/>
    </row>
    <row r="15" spans="2:12" x14ac:dyDescent="0.2">
      <c r="B15" s="595" t="s">
        <v>346</v>
      </c>
      <c r="C15" s="596"/>
      <c r="D15" s="596"/>
      <c r="E15">
        <f>0.154/1000</f>
        <v>1.54E-4</v>
      </c>
    </row>
    <row r="16" spans="2:12" x14ac:dyDescent="0.2">
      <c r="B16" s="596"/>
      <c r="C16" s="596"/>
      <c r="D16" s="596"/>
    </row>
    <row r="18" spans="2:6" x14ac:dyDescent="0.2">
      <c r="B18" s="597" t="s">
        <v>347</v>
      </c>
      <c r="C18" s="591"/>
      <c r="D18" s="591"/>
      <c r="E18" s="591"/>
    </row>
    <row r="19" spans="2:6" x14ac:dyDescent="0.2">
      <c r="B19" t="s">
        <v>348</v>
      </c>
      <c r="E19" s="257">
        <f>0.96*6*4</f>
        <v>23.04</v>
      </c>
      <c r="F19" t="s">
        <v>349</v>
      </c>
    </row>
    <row r="20" spans="2:6" x14ac:dyDescent="0.2">
      <c r="B20" t="s">
        <v>350</v>
      </c>
      <c r="E20" s="257">
        <f>E19*E11</f>
        <v>1.2303360000000001</v>
      </c>
    </row>
    <row r="21" spans="2:6" x14ac:dyDescent="0.2">
      <c r="B21" s="258" t="s">
        <v>351</v>
      </c>
      <c r="E21" s="257">
        <f>E20*7</f>
        <v>8.6123520000000013</v>
      </c>
    </row>
    <row r="22" spans="2:6" x14ac:dyDescent="0.2">
      <c r="B22" s="597" t="s">
        <v>352</v>
      </c>
      <c r="C22" s="591"/>
      <c r="D22" s="591"/>
      <c r="E22" s="591"/>
    </row>
    <row r="23" spans="2:6" x14ac:dyDescent="0.2">
      <c r="B23" s="592" t="s">
        <v>353</v>
      </c>
      <c r="C23" s="593"/>
      <c r="D23" s="593"/>
      <c r="E23" s="257">
        <f>E10/C6</f>
        <v>125.30874774096385</v>
      </c>
    </row>
    <row r="24" spans="2:6" x14ac:dyDescent="0.2">
      <c r="B24" s="593"/>
      <c r="C24" s="593"/>
      <c r="D24" s="593"/>
    </row>
    <row r="25" spans="2:6" x14ac:dyDescent="0.2">
      <c r="B25" t="s">
        <v>354</v>
      </c>
      <c r="E25" s="259">
        <f>(E23*E12)+(E23*E13*21)+(E23*E15*310)</f>
        <v>333.80608853597363</v>
      </c>
    </row>
    <row r="27" spans="2:6" x14ac:dyDescent="0.2">
      <c r="B27" s="591" t="s">
        <v>355</v>
      </c>
      <c r="C27" s="591"/>
      <c r="D27" s="591"/>
      <c r="E27" s="591"/>
    </row>
    <row r="28" spans="2:6" x14ac:dyDescent="0.2">
      <c r="B28" t="s">
        <v>355</v>
      </c>
    </row>
    <row r="29" spans="2:6" x14ac:dyDescent="0.2">
      <c r="B29" t="s">
        <v>356</v>
      </c>
      <c r="E29" s="259">
        <f>E25-E21</f>
        <v>325.19373653597364</v>
      </c>
      <c r="F29" s="259"/>
    </row>
    <row r="30" spans="2:6" x14ac:dyDescent="0.2">
      <c r="B30" t="s">
        <v>357</v>
      </c>
      <c r="E30" s="314">
        <f>E29/1000</f>
        <v>0.32519373653597367</v>
      </c>
    </row>
  </sheetData>
  <mergeCells count="10">
    <mergeCell ref="B1:L1"/>
    <mergeCell ref="B5:C5"/>
    <mergeCell ref="B9:L9"/>
    <mergeCell ref="B27:E27"/>
    <mergeCell ref="B13:D14"/>
    <mergeCell ref="E13:E14"/>
    <mergeCell ref="B15:D16"/>
    <mergeCell ref="B18:E18"/>
    <mergeCell ref="B22:E22"/>
    <mergeCell ref="B23:D24"/>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74F8-89FE-4E53-BAD9-BBDF39F9BAAB}">
  <dimension ref="B1:P82"/>
  <sheetViews>
    <sheetView showGridLines="0" topLeftCell="A21" workbookViewId="0">
      <selection activeCell="E35" sqref="E35"/>
    </sheetView>
  </sheetViews>
  <sheetFormatPr baseColWidth="10" defaultColWidth="11" defaultRowHeight="14.25" x14ac:dyDescent="0.2"/>
  <cols>
    <col min="3" max="3" width="14.5" customWidth="1"/>
    <col min="5" max="5" width="12.25" bestFit="1" customWidth="1"/>
    <col min="16" max="16" width="16.75" customWidth="1"/>
  </cols>
  <sheetData>
    <row r="1" spans="2:16" ht="15" x14ac:dyDescent="0.25">
      <c r="B1" s="587" t="s">
        <v>79</v>
      </c>
      <c r="C1" s="587"/>
      <c r="D1" s="587"/>
      <c r="E1" s="587"/>
      <c r="F1" s="587"/>
      <c r="G1" s="587"/>
      <c r="H1" s="587"/>
      <c r="I1" s="587"/>
      <c r="J1" s="587"/>
      <c r="K1" s="587"/>
      <c r="L1" s="587"/>
      <c r="N1" s="598" t="s">
        <v>358</v>
      </c>
      <c r="O1" s="599"/>
      <c r="P1" s="599"/>
    </row>
    <row r="2" spans="2:16" ht="15" x14ac:dyDescent="0.25">
      <c r="B2" s="601" t="s">
        <v>359</v>
      </c>
      <c r="C2" s="602" t="s">
        <v>162</v>
      </c>
      <c r="D2" s="602"/>
      <c r="E2" s="602"/>
      <c r="F2" s="602"/>
      <c r="G2" s="602"/>
      <c r="H2" s="602"/>
      <c r="I2" s="602"/>
      <c r="J2" s="602"/>
      <c r="K2" s="602"/>
      <c r="L2" s="602"/>
      <c r="N2" s="260" t="s">
        <v>360</v>
      </c>
      <c r="O2" s="260" t="s">
        <v>359</v>
      </c>
      <c r="P2" s="260" t="s">
        <v>361</v>
      </c>
    </row>
    <row r="3" spans="2:16" ht="15" x14ac:dyDescent="0.25">
      <c r="B3" s="601"/>
      <c r="C3" s="249">
        <v>249</v>
      </c>
      <c r="D3" s="250">
        <v>231</v>
      </c>
      <c r="E3" s="250">
        <v>232</v>
      </c>
      <c r="F3" s="250">
        <v>250</v>
      </c>
      <c r="G3" s="250">
        <v>265</v>
      </c>
      <c r="H3" s="250">
        <v>248</v>
      </c>
      <c r="I3" s="250">
        <v>264</v>
      </c>
      <c r="J3" s="250">
        <v>150</v>
      </c>
      <c r="K3" s="250">
        <v>164</v>
      </c>
      <c r="L3" s="251" t="s">
        <v>0</v>
      </c>
      <c r="N3" s="253">
        <v>5</v>
      </c>
      <c r="O3" s="253" t="s">
        <v>362</v>
      </c>
      <c r="P3" s="253">
        <v>30.56</v>
      </c>
    </row>
    <row r="4" spans="2:16" ht="15" x14ac:dyDescent="0.25">
      <c r="B4" s="252" t="s">
        <v>363</v>
      </c>
      <c r="C4" s="252">
        <v>1018</v>
      </c>
      <c r="D4" s="252">
        <v>520</v>
      </c>
      <c r="E4" s="252">
        <v>506</v>
      </c>
      <c r="F4" s="252">
        <v>673</v>
      </c>
      <c r="G4" s="252">
        <v>127</v>
      </c>
      <c r="H4" s="252">
        <v>514</v>
      </c>
      <c r="I4" s="252">
        <v>1078</v>
      </c>
      <c r="J4" s="252">
        <v>65</v>
      </c>
      <c r="K4" s="252">
        <v>27</v>
      </c>
      <c r="L4" s="253">
        <v>4528</v>
      </c>
      <c r="N4" s="253">
        <v>6</v>
      </c>
      <c r="O4" s="253" t="s">
        <v>362</v>
      </c>
      <c r="P4" s="253">
        <v>41.52</v>
      </c>
    </row>
    <row r="5" spans="2:16" ht="15" x14ac:dyDescent="0.25">
      <c r="B5" s="252" t="s">
        <v>364</v>
      </c>
      <c r="C5" s="252">
        <v>564</v>
      </c>
      <c r="D5" s="252">
        <v>813</v>
      </c>
      <c r="E5" s="252">
        <v>766</v>
      </c>
      <c r="F5" s="252">
        <v>1029</v>
      </c>
      <c r="G5" s="252">
        <v>568</v>
      </c>
      <c r="H5" s="252">
        <v>550</v>
      </c>
      <c r="I5" s="252">
        <v>1298</v>
      </c>
      <c r="J5" s="252"/>
      <c r="K5" s="252"/>
      <c r="L5" s="253">
        <v>5588</v>
      </c>
      <c r="N5" s="253">
        <v>21</v>
      </c>
      <c r="O5" s="253" t="s">
        <v>362</v>
      </c>
      <c r="P5" s="253">
        <v>17.13</v>
      </c>
    </row>
    <row r="6" spans="2:16" ht="15" x14ac:dyDescent="0.25">
      <c r="B6" s="252" t="s">
        <v>365</v>
      </c>
      <c r="C6" s="252">
        <v>0</v>
      </c>
      <c r="D6" s="252">
        <v>582</v>
      </c>
      <c r="E6" s="252">
        <v>755</v>
      </c>
      <c r="F6" s="252">
        <v>664</v>
      </c>
      <c r="G6" s="252">
        <v>833</v>
      </c>
      <c r="H6" s="252">
        <v>760</v>
      </c>
      <c r="I6" s="252">
        <v>1375</v>
      </c>
      <c r="J6" s="252"/>
      <c r="K6" s="252"/>
      <c r="L6" s="253">
        <v>4969</v>
      </c>
      <c r="N6" s="253">
        <v>22</v>
      </c>
      <c r="O6" s="253" t="s">
        <v>362</v>
      </c>
      <c r="P6" s="253">
        <v>26.59</v>
      </c>
    </row>
    <row r="7" spans="2:16" ht="15" x14ac:dyDescent="0.25">
      <c r="B7" s="252" t="s">
        <v>366</v>
      </c>
      <c r="C7" s="252">
        <v>0</v>
      </c>
      <c r="D7" s="252">
        <v>571</v>
      </c>
      <c r="E7" s="252">
        <v>644</v>
      </c>
      <c r="F7" s="252">
        <v>492</v>
      </c>
      <c r="G7" s="252">
        <v>232</v>
      </c>
      <c r="H7" s="252">
        <v>1112</v>
      </c>
      <c r="I7" s="252">
        <v>78</v>
      </c>
      <c r="J7" s="252"/>
      <c r="K7" s="252"/>
      <c r="L7" s="253">
        <v>3129</v>
      </c>
      <c r="N7" s="253">
        <v>30</v>
      </c>
      <c r="O7" s="253" t="s">
        <v>362</v>
      </c>
      <c r="P7" s="253">
        <v>18.440000000000001</v>
      </c>
    </row>
    <row r="8" spans="2:16" ht="15" x14ac:dyDescent="0.25">
      <c r="N8" s="253">
        <v>15</v>
      </c>
      <c r="O8" s="253" t="s">
        <v>367</v>
      </c>
      <c r="P8" s="253">
        <v>15.55</v>
      </c>
    </row>
    <row r="9" spans="2:16" ht="15" x14ac:dyDescent="0.25">
      <c r="N9" s="253">
        <v>10</v>
      </c>
      <c r="O9" s="253" t="s">
        <v>368</v>
      </c>
      <c r="P9" s="253">
        <v>38.950000000000003</v>
      </c>
    </row>
    <row r="10" spans="2:16" ht="15" x14ac:dyDescent="0.25">
      <c r="B10" s="254" t="s">
        <v>359</v>
      </c>
      <c r="C10" s="254" t="s">
        <v>369</v>
      </c>
      <c r="E10" s="588" t="s">
        <v>340</v>
      </c>
      <c r="F10" s="589"/>
      <c r="H10" s="603" t="s">
        <v>370</v>
      </c>
      <c r="I10" s="604"/>
      <c r="J10" s="604"/>
      <c r="K10" s="604"/>
      <c r="L10" s="605"/>
      <c r="N10" s="253">
        <v>19</v>
      </c>
      <c r="O10" s="253" t="s">
        <v>368</v>
      </c>
      <c r="P10" s="253">
        <v>29.79</v>
      </c>
    </row>
    <row r="11" spans="2:16" ht="15" x14ac:dyDescent="0.25">
      <c r="B11" s="252" t="s">
        <v>371</v>
      </c>
      <c r="C11" s="252">
        <v>228.52</v>
      </c>
      <c r="E11" s="252" t="s">
        <v>363</v>
      </c>
      <c r="F11" s="252">
        <f>L4/C11</f>
        <v>19.814458253106949</v>
      </c>
      <c r="H11" s="606"/>
      <c r="I11" s="607"/>
      <c r="J11" s="607"/>
      <c r="K11" s="607"/>
      <c r="L11" s="608"/>
      <c r="N11" s="253">
        <v>21</v>
      </c>
      <c r="O11" s="253" t="s">
        <v>368</v>
      </c>
      <c r="P11" s="253">
        <v>13.57</v>
      </c>
    </row>
    <row r="12" spans="2:16" ht="15" x14ac:dyDescent="0.25">
      <c r="B12" s="252" t="s">
        <v>372</v>
      </c>
      <c r="C12" s="252">
        <v>212.76999999999995</v>
      </c>
      <c r="E12" s="252" t="s">
        <v>364</v>
      </c>
      <c r="F12" s="252">
        <f>L5/C12</f>
        <v>26.263101001080987</v>
      </c>
      <c r="H12" s="606"/>
      <c r="I12" s="607"/>
      <c r="J12" s="607"/>
      <c r="K12" s="607"/>
      <c r="L12" s="608"/>
      <c r="N12" s="253">
        <v>26</v>
      </c>
      <c r="O12" s="253" t="s">
        <v>368</v>
      </c>
      <c r="P12" s="253">
        <v>43.2</v>
      </c>
    </row>
    <row r="13" spans="2:16" ht="15" x14ac:dyDescent="0.25">
      <c r="B13" s="252" t="s">
        <v>373</v>
      </c>
      <c r="C13" s="252">
        <v>233.06</v>
      </c>
      <c r="E13" s="252" t="s">
        <v>365</v>
      </c>
      <c r="F13" s="252">
        <f>L6/C13</f>
        <v>21.320689951085559</v>
      </c>
      <c r="H13" s="606"/>
      <c r="I13" s="607"/>
      <c r="J13" s="607"/>
      <c r="K13" s="607"/>
      <c r="L13" s="608"/>
      <c r="N13" s="253">
        <v>27</v>
      </c>
      <c r="O13" s="253" t="s">
        <v>368</v>
      </c>
      <c r="P13" s="253">
        <v>28.58</v>
      </c>
    </row>
    <row r="14" spans="2:16" ht="15" x14ac:dyDescent="0.25">
      <c r="B14" s="252" t="s">
        <v>374</v>
      </c>
      <c r="C14" s="252">
        <v>231.69</v>
      </c>
      <c r="E14" s="252" t="s">
        <v>366</v>
      </c>
      <c r="F14" s="252">
        <f>L7/C14</f>
        <v>13.505114592774829</v>
      </c>
      <c r="H14" s="606"/>
      <c r="I14" s="607"/>
      <c r="J14" s="607"/>
      <c r="K14" s="607"/>
      <c r="L14" s="608"/>
      <c r="N14" s="253">
        <v>11</v>
      </c>
      <c r="O14" s="253" t="s">
        <v>375</v>
      </c>
      <c r="P14" s="253">
        <v>20.079999999999998</v>
      </c>
    </row>
    <row r="15" spans="2:16" ht="15" x14ac:dyDescent="0.25">
      <c r="B15" s="250" t="s">
        <v>0</v>
      </c>
      <c r="C15" s="252">
        <f>SUM(C11:C14)</f>
        <v>906.04</v>
      </c>
      <c r="E15" s="250" t="s">
        <v>376</v>
      </c>
      <c r="F15" s="255">
        <f>+AVERAGE(F11:F14)</f>
        <v>20.225840949512079</v>
      </c>
      <c r="H15" s="609"/>
      <c r="I15" s="610"/>
      <c r="J15" s="610"/>
      <c r="K15" s="610"/>
      <c r="L15" s="611"/>
      <c r="N15" s="253">
        <v>12</v>
      </c>
      <c r="O15" s="253" t="s">
        <v>375</v>
      </c>
      <c r="P15" s="253">
        <v>38.590000000000003</v>
      </c>
    </row>
    <row r="16" spans="2:16" ht="15" x14ac:dyDescent="0.25">
      <c r="N16" s="253">
        <v>21</v>
      </c>
      <c r="O16" s="253" t="s">
        <v>377</v>
      </c>
      <c r="P16" s="253">
        <v>19.98</v>
      </c>
    </row>
    <row r="17" spans="2:16" ht="15" x14ac:dyDescent="0.25">
      <c r="N17" s="253">
        <v>22</v>
      </c>
      <c r="O17" s="253" t="s">
        <v>377</v>
      </c>
      <c r="P17" s="253">
        <v>11.58</v>
      </c>
    </row>
    <row r="18" spans="2:16" ht="15.75" x14ac:dyDescent="0.25">
      <c r="B18" s="590" t="s">
        <v>341</v>
      </c>
      <c r="C18" s="590"/>
      <c r="D18" s="590"/>
      <c r="E18" s="590"/>
      <c r="F18" s="590"/>
      <c r="G18" s="590"/>
      <c r="H18" s="590"/>
      <c r="I18" s="590"/>
      <c r="J18" s="590"/>
      <c r="K18" s="590"/>
      <c r="L18" s="590"/>
      <c r="N18" s="253">
        <v>27</v>
      </c>
      <c r="O18" s="253" t="s">
        <v>377</v>
      </c>
      <c r="P18" s="253">
        <v>26.28</v>
      </c>
    </row>
    <row r="19" spans="2:16" ht="15" x14ac:dyDescent="0.25">
      <c r="B19" t="s">
        <v>378</v>
      </c>
      <c r="E19" s="256">
        <f>P82</f>
        <v>1737.7399999999998</v>
      </c>
      <c r="N19" s="253">
        <v>28</v>
      </c>
      <c r="O19" s="253" t="s">
        <v>377</v>
      </c>
      <c r="P19" s="253">
        <v>42.85</v>
      </c>
    </row>
    <row r="20" spans="2:16" ht="15" x14ac:dyDescent="0.25">
      <c r="B20" t="s">
        <v>343</v>
      </c>
      <c r="E20">
        <v>5.3400000000000003E-2</v>
      </c>
      <c r="N20" s="253">
        <v>5</v>
      </c>
      <c r="O20" s="253" t="s">
        <v>379</v>
      </c>
      <c r="P20" s="253">
        <v>38.94</v>
      </c>
    </row>
    <row r="21" spans="2:16" ht="15" x14ac:dyDescent="0.25">
      <c r="B21" t="s">
        <v>380</v>
      </c>
      <c r="E21">
        <v>2.2309999999999999</v>
      </c>
      <c r="N21" s="253">
        <v>6</v>
      </c>
      <c r="O21" s="253" t="s">
        <v>379</v>
      </c>
      <c r="P21" s="253">
        <v>30.62</v>
      </c>
    </row>
    <row r="22" spans="2:16" ht="15" x14ac:dyDescent="0.25">
      <c r="B22" s="593" t="s">
        <v>381</v>
      </c>
      <c r="C22" s="593"/>
      <c r="D22" s="593"/>
      <c r="E22" s="594">
        <f>0.907/1000</f>
        <v>9.0700000000000004E-4</v>
      </c>
      <c r="N22" s="253">
        <v>7</v>
      </c>
      <c r="O22" s="253" t="s">
        <v>379</v>
      </c>
      <c r="P22" s="253">
        <v>15.78</v>
      </c>
    </row>
    <row r="23" spans="2:16" ht="15" x14ac:dyDescent="0.25">
      <c r="B23" s="593"/>
      <c r="C23" s="593"/>
      <c r="D23" s="593"/>
      <c r="E23" s="594"/>
      <c r="N23" s="253">
        <v>8</v>
      </c>
      <c r="O23" s="253" t="s">
        <v>379</v>
      </c>
      <c r="P23" s="253">
        <v>21.76</v>
      </c>
    </row>
    <row r="24" spans="2:16" ht="15" x14ac:dyDescent="0.25">
      <c r="B24" s="596" t="s">
        <v>382</v>
      </c>
      <c r="C24" s="596"/>
      <c r="D24" s="596"/>
      <c r="E24">
        <f>0.283/1000</f>
        <v>2.8299999999999999E-4</v>
      </c>
      <c r="N24" s="253">
        <v>13</v>
      </c>
      <c r="O24" s="253" t="s">
        <v>379</v>
      </c>
      <c r="P24" s="253">
        <v>37.42</v>
      </c>
    </row>
    <row r="25" spans="2:16" ht="15" x14ac:dyDescent="0.25">
      <c r="B25" s="596"/>
      <c r="C25" s="596"/>
      <c r="D25" s="596"/>
      <c r="N25" s="253">
        <v>14</v>
      </c>
      <c r="O25" s="253" t="s">
        <v>379</v>
      </c>
      <c r="P25" s="253">
        <v>26.42</v>
      </c>
    </row>
    <row r="26" spans="2:16" ht="15" x14ac:dyDescent="0.25">
      <c r="N26" s="253">
        <v>10</v>
      </c>
      <c r="O26" s="253" t="s">
        <v>383</v>
      </c>
      <c r="P26" s="253">
        <v>11.3</v>
      </c>
    </row>
    <row r="27" spans="2:16" ht="15" x14ac:dyDescent="0.25">
      <c r="B27" s="591" t="s">
        <v>384</v>
      </c>
      <c r="C27" s="591"/>
      <c r="D27" s="591"/>
      <c r="E27" s="591"/>
      <c r="N27" s="253">
        <v>11</v>
      </c>
      <c r="O27" s="253" t="s">
        <v>383</v>
      </c>
      <c r="P27" s="253">
        <v>19.02</v>
      </c>
    </row>
    <row r="28" spans="2:16" ht="15" x14ac:dyDescent="0.25">
      <c r="B28" t="s">
        <v>385</v>
      </c>
      <c r="E28">
        <v>350</v>
      </c>
      <c r="N28" s="253">
        <v>16</v>
      </c>
      <c r="O28" s="253" t="s">
        <v>383</v>
      </c>
      <c r="P28" s="253">
        <v>15.62</v>
      </c>
    </row>
    <row r="29" spans="2:16" ht="15" x14ac:dyDescent="0.25">
      <c r="B29" t="s">
        <v>386</v>
      </c>
      <c r="E29">
        <f>(40+45)/2</f>
        <v>42.5</v>
      </c>
      <c r="N29" s="253">
        <v>17</v>
      </c>
      <c r="O29" s="253" t="s">
        <v>383</v>
      </c>
      <c r="P29" s="253">
        <v>48.84</v>
      </c>
    </row>
    <row r="30" spans="2:16" ht="15" x14ac:dyDescent="0.25">
      <c r="B30" t="s">
        <v>387</v>
      </c>
      <c r="E30">
        <v>6</v>
      </c>
      <c r="N30" s="253">
        <v>18</v>
      </c>
      <c r="O30" s="253" t="s">
        <v>383</v>
      </c>
      <c r="P30" s="253">
        <v>18.18</v>
      </c>
    </row>
    <row r="31" spans="2:16" ht="15" x14ac:dyDescent="0.25">
      <c r="B31" s="600" t="s">
        <v>388</v>
      </c>
      <c r="C31" s="600"/>
      <c r="D31" s="600"/>
      <c r="E31" s="600"/>
      <c r="N31" s="253">
        <v>19</v>
      </c>
      <c r="O31" s="253" t="s">
        <v>383</v>
      </c>
      <c r="P31" s="253">
        <v>23.06</v>
      </c>
    </row>
    <row r="32" spans="2:16" ht="15" x14ac:dyDescent="0.25">
      <c r="B32" s="600"/>
      <c r="C32" s="600"/>
      <c r="D32" s="600"/>
      <c r="E32" s="600"/>
      <c r="N32" s="253">
        <v>24</v>
      </c>
      <c r="O32" s="253" t="s">
        <v>383</v>
      </c>
      <c r="P32" s="253">
        <v>40.229999999999997</v>
      </c>
    </row>
    <row r="33" spans="2:16" ht="15" x14ac:dyDescent="0.25">
      <c r="B33" s="591" t="s">
        <v>389</v>
      </c>
      <c r="C33" s="591"/>
      <c r="D33" s="591"/>
      <c r="E33" s="591"/>
      <c r="N33" s="253">
        <v>26</v>
      </c>
      <c r="O33" s="253" t="s">
        <v>390</v>
      </c>
      <c r="P33" s="253">
        <v>17.940000000000001</v>
      </c>
    </row>
    <row r="34" spans="2:16" ht="15" x14ac:dyDescent="0.25">
      <c r="B34" t="s">
        <v>391</v>
      </c>
      <c r="E34" s="257">
        <f>E19/E29</f>
        <v>40.887999999999998</v>
      </c>
      <c r="N34" s="253">
        <v>27</v>
      </c>
      <c r="O34" s="253" t="s">
        <v>390</v>
      </c>
      <c r="P34" s="253">
        <v>18.22</v>
      </c>
    </row>
    <row r="35" spans="2:16" ht="15" x14ac:dyDescent="0.25">
      <c r="B35" t="s">
        <v>392</v>
      </c>
      <c r="E35" s="257">
        <f>(E28*E30*E34)/1000</f>
        <v>85.864800000000002</v>
      </c>
      <c r="N35" s="253">
        <v>1</v>
      </c>
      <c r="O35" s="253" t="s">
        <v>393</v>
      </c>
      <c r="P35" s="253">
        <v>24.89</v>
      </c>
    </row>
    <row r="36" spans="2:16" ht="15" x14ac:dyDescent="0.25">
      <c r="B36" t="s">
        <v>350</v>
      </c>
      <c r="E36" s="257">
        <f>E35*E20</f>
        <v>4.5851803200000001</v>
      </c>
      <c r="N36" s="253">
        <v>2</v>
      </c>
      <c r="O36" s="253" t="s">
        <v>393</v>
      </c>
      <c r="P36" s="253">
        <v>17.22</v>
      </c>
    </row>
    <row r="37" spans="2:16" ht="15" x14ac:dyDescent="0.25">
      <c r="N37" s="253">
        <v>3</v>
      </c>
      <c r="O37" s="253" t="s">
        <v>393</v>
      </c>
      <c r="P37" s="253">
        <v>12.89</v>
      </c>
    </row>
    <row r="38" spans="2:16" ht="15" x14ac:dyDescent="0.25">
      <c r="B38" s="591" t="s">
        <v>394</v>
      </c>
      <c r="C38" s="591"/>
      <c r="D38" s="591"/>
      <c r="E38" s="591"/>
      <c r="N38" s="253">
        <v>4</v>
      </c>
      <c r="O38" s="253" t="s">
        <v>393</v>
      </c>
      <c r="P38" s="253">
        <v>15.98</v>
      </c>
    </row>
    <row r="39" spans="2:16" ht="15" x14ac:dyDescent="0.25">
      <c r="B39" s="593" t="s">
        <v>395</v>
      </c>
      <c r="C39" s="593"/>
      <c r="D39" s="593"/>
      <c r="E39" s="257">
        <f>E19/F11</f>
        <v>87.700606183745577</v>
      </c>
      <c r="N39" s="253">
        <v>4</v>
      </c>
      <c r="O39" s="253" t="s">
        <v>364</v>
      </c>
      <c r="P39" s="253">
        <v>35.520000000000003</v>
      </c>
    </row>
    <row r="40" spans="2:16" ht="15" x14ac:dyDescent="0.25">
      <c r="B40" s="593"/>
      <c r="C40" s="593"/>
      <c r="D40" s="593"/>
      <c r="N40" s="253">
        <v>5</v>
      </c>
      <c r="O40" s="253" t="s">
        <v>364</v>
      </c>
      <c r="P40" s="253">
        <v>27.38</v>
      </c>
    </row>
    <row r="41" spans="2:16" ht="15" x14ac:dyDescent="0.25">
      <c r="B41" t="s">
        <v>354</v>
      </c>
      <c r="E41" s="259">
        <f>(E39*E21)+(E39*E22*21)+(E39*E24*310)</f>
        <v>205.02446002241817</v>
      </c>
      <c r="N41" s="253">
        <v>7</v>
      </c>
      <c r="O41" s="253" t="s">
        <v>364</v>
      </c>
      <c r="P41" s="253">
        <v>10.65</v>
      </c>
    </row>
    <row r="42" spans="2:16" ht="15" x14ac:dyDescent="0.25">
      <c r="N42" s="253">
        <v>12</v>
      </c>
      <c r="O42" s="253" t="s">
        <v>364</v>
      </c>
      <c r="P42" s="253">
        <v>38.869999999999997</v>
      </c>
    </row>
    <row r="43" spans="2:16" ht="15" x14ac:dyDescent="0.25">
      <c r="B43" s="591" t="s">
        <v>355</v>
      </c>
      <c r="C43" s="591"/>
      <c r="D43" s="591"/>
      <c r="E43" s="591"/>
      <c r="N43" s="253">
        <v>13</v>
      </c>
      <c r="O43" s="253" t="s">
        <v>364</v>
      </c>
      <c r="P43" s="253">
        <v>31.02</v>
      </c>
    </row>
    <row r="44" spans="2:16" ht="15" x14ac:dyDescent="0.25">
      <c r="B44" t="s">
        <v>355</v>
      </c>
      <c r="N44" s="253">
        <v>14</v>
      </c>
      <c r="O44" s="253" t="s">
        <v>364</v>
      </c>
      <c r="P44" s="253">
        <v>7.48</v>
      </c>
    </row>
    <row r="45" spans="2:16" ht="15" x14ac:dyDescent="0.25">
      <c r="B45" t="s">
        <v>356</v>
      </c>
      <c r="E45" s="259">
        <f>E41-E36</f>
        <v>200.43927970241816</v>
      </c>
      <c r="N45" s="253">
        <v>15</v>
      </c>
      <c r="O45" s="253" t="s">
        <v>364</v>
      </c>
      <c r="P45" s="253">
        <v>23.84</v>
      </c>
    </row>
    <row r="46" spans="2:16" ht="15" x14ac:dyDescent="0.25">
      <c r="B46" t="s">
        <v>357</v>
      </c>
      <c r="E46">
        <f>E45/1000</f>
        <v>0.20043927970241815</v>
      </c>
      <c r="N46" s="253">
        <v>20</v>
      </c>
      <c r="O46" s="253" t="s">
        <v>364</v>
      </c>
      <c r="P46" s="253">
        <v>30.37</v>
      </c>
    </row>
    <row r="47" spans="2:16" ht="15" x14ac:dyDescent="0.25">
      <c r="N47" s="253">
        <v>21</v>
      </c>
      <c r="O47" s="253" t="s">
        <v>364</v>
      </c>
      <c r="P47" s="253">
        <v>14.7</v>
      </c>
    </row>
    <row r="48" spans="2:16" ht="15" x14ac:dyDescent="0.25">
      <c r="N48" s="253">
        <v>28</v>
      </c>
      <c r="O48" s="253"/>
      <c r="P48" s="253">
        <v>26.78</v>
      </c>
    </row>
    <row r="49" spans="14:16" ht="15" x14ac:dyDescent="0.25">
      <c r="N49" s="253">
        <v>29</v>
      </c>
      <c r="O49" s="253"/>
      <c r="P49" s="253">
        <v>24.9</v>
      </c>
    </row>
    <row r="50" spans="14:16" ht="15" x14ac:dyDescent="0.25">
      <c r="N50" s="253">
        <v>5</v>
      </c>
      <c r="O50" s="253" t="s">
        <v>365</v>
      </c>
      <c r="P50" s="253">
        <v>19.55</v>
      </c>
    </row>
    <row r="51" spans="14:16" ht="15" x14ac:dyDescent="0.25">
      <c r="N51" s="253">
        <v>6</v>
      </c>
      <c r="O51" s="253" t="s">
        <v>365</v>
      </c>
      <c r="P51" s="253">
        <v>22.73</v>
      </c>
    </row>
    <row r="52" spans="14:16" ht="15" x14ac:dyDescent="0.25">
      <c r="N52" s="253">
        <v>7</v>
      </c>
      <c r="O52" s="253" t="s">
        <v>365</v>
      </c>
      <c r="P52" s="253">
        <v>23.93</v>
      </c>
    </row>
    <row r="53" spans="14:16" ht="15" x14ac:dyDescent="0.25">
      <c r="N53" s="253">
        <v>8</v>
      </c>
      <c r="O53" s="253" t="s">
        <v>365</v>
      </c>
      <c r="P53" s="253">
        <v>14.81</v>
      </c>
    </row>
    <row r="54" spans="14:16" ht="15" x14ac:dyDescent="0.25">
      <c r="N54" s="253">
        <v>13</v>
      </c>
      <c r="O54" s="253" t="s">
        <v>365</v>
      </c>
      <c r="P54" s="253">
        <v>31.25</v>
      </c>
    </row>
    <row r="55" spans="14:16" ht="15" x14ac:dyDescent="0.25">
      <c r="N55" s="253">
        <v>14</v>
      </c>
      <c r="O55" s="253" t="s">
        <v>365</v>
      </c>
      <c r="P55" s="253">
        <v>20.22</v>
      </c>
    </row>
    <row r="56" spans="14:16" ht="15" x14ac:dyDescent="0.25">
      <c r="N56" s="253">
        <v>15</v>
      </c>
      <c r="O56" s="253" t="s">
        <v>365</v>
      </c>
      <c r="P56" s="253">
        <v>23</v>
      </c>
    </row>
    <row r="57" spans="14:16" ht="15" x14ac:dyDescent="0.25">
      <c r="N57" s="253">
        <v>22</v>
      </c>
      <c r="O57" s="253" t="s">
        <v>365</v>
      </c>
      <c r="P57" s="253">
        <v>23.81</v>
      </c>
    </row>
    <row r="58" spans="14:16" ht="15" x14ac:dyDescent="0.25">
      <c r="N58" s="253">
        <v>23</v>
      </c>
      <c r="O58" s="253" t="s">
        <v>365</v>
      </c>
      <c r="P58" s="253">
        <v>13.28</v>
      </c>
    </row>
    <row r="59" spans="14:16" ht="15" x14ac:dyDescent="0.25">
      <c r="N59" s="253">
        <v>24</v>
      </c>
      <c r="O59" s="253" t="s">
        <v>365</v>
      </c>
      <c r="P59" s="253">
        <v>21.12</v>
      </c>
    </row>
    <row r="60" spans="14:16" ht="15" x14ac:dyDescent="0.25">
      <c r="N60" s="253">
        <v>30</v>
      </c>
      <c r="O60" s="253" t="s">
        <v>365</v>
      </c>
      <c r="P60" s="253">
        <v>36.17</v>
      </c>
    </row>
    <row r="61" spans="14:16" ht="15" x14ac:dyDescent="0.25">
      <c r="N61" s="253">
        <v>1</v>
      </c>
      <c r="O61" s="253" t="s">
        <v>366</v>
      </c>
      <c r="P61" s="253">
        <v>9.64</v>
      </c>
    </row>
    <row r="62" spans="14:16" ht="15" x14ac:dyDescent="0.25">
      <c r="N62" s="253">
        <v>15</v>
      </c>
      <c r="O62" s="253" t="s">
        <v>366</v>
      </c>
      <c r="P62" s="253">
        <v>1.38</v>
      </c>
    </row>
    <row r="63" spans="14:16" ht="15" x14ac:dyDescent="0.25">
      <c r="N63" s="253">
        <v>17</v>
      </c>
      <c r="O63" s="253" t="s">
        <v>366</v>
      </c>
      <c r="P63" s="253">
        <v>11.42</v>
      </c>
    </row>
    <row r="64" spans="14:16" ht="15" x14ac:dyDescent="0.25">
      <c r="N64" s="253">
        <v>18</v>
      </c>
      <c r="O64" s="253" t="s">
        <v>366</v>
      </c>
      <c r="P64" s="253">
        <v>13.33</v>
      </c>
    </row>
    <row r="65" spans="14:16" ht="15" x14ac:dyDescent="0.25">
      <c r="N65" s="253">
        <v>23</v>
      </c>
      <c r="O65" s="253" t="s">
        <v>366</v>
      </c>
      <c r="P65" s="253">
        <v>14.72</v>
      </c>
    </row>
    <row r="66" spans="14:16" ht="15" x14ac:dyDescent="0.25">
      <c r="N66" s="253">
        <v>24</v>
      </c>
      <c r="O66" s="253" t="s">
        <v>366</v>
      </c>
      <c r="P66" s="253">
        <v>19.93</v>
      </c>
    </row>
    <row r="67" spans="14:16" ht="15" x14ac:dyDescent="0.25">
      <c r="N67" s="253">
        <v>25</v>
      </c>
      <c r="O67" s="253" t="s">
        <v>366</v>
      </c>
      <c r="P67" s="253">
        <v>11.56</v>
      </c>
    </row>
    <row r="68" spans="14:16" ht="15" x14ac:dyDescent="0.25">
      <c r="N68" s="253">
        <v>26</v>
      </c>
      <c r="O68" s="253" t="s">
        <v>366</v>
      </c>
      <c r="P68" s="253">
        <v>16.36</v>
      </c>
    </row>
    <row r="69" spans="14:16" ht="15" x14ac:dyDescent="0.25">
      <c r="N69" s="253">
        <v>31</v>
      </c>
      <c r="O69" s="253" t="s">
        <v>366</v>
      </c>
      <c r="P69" s="253">
        <v>18</v>
      </c>
    </row>
    <row r="70" spans="14:16" ht="15" x14ac:dyDescent="0.25">
      <c r="N70" s="253"/>
      <c r="O70" s="253"/>
      <c r="P70" s="253">
        <f>SUM(P3:P69)</f>
        <v>1555.2899999999997</v>
      </c>
    </row>
    <row r="71" spans="14:16" ht="15" x14ac:dyDescent="0.25">
      <c r="N71" s="253">
        <v>20</v>
      </c>
      <c r="O71" s="253" t="s">
        <v>364</v>
      </c>
      <c r="P71" s="253">
        <v>11.36</v>
      </c>
    </row>
    <row r="72" spans="14:16" ht="15" x14ac:dyDescent="0.25">
      <c r="N72" s="253">
        <v>21</v>
      </c>
      <c r="O72" s="253" t="s">
        <v>364</v>
      </c>
      <c r="P72" s="253">
        <v>27.07</v>
      </c>
    </row>
    <row r="73" spans="14:16" ht="15" x14ac:dyDescent="0.25">
      <c r="N73" s="253">
        <v>28</v>
      </c>
      <c r="O73" s="253" t="s">
        <v>364</v>
      </c>
      <c r="P73" s="253">
        <v>25.76</v>
      </c>
    </row>
    <row r="74" spans="14:16" ht="15" x14ac:dyDescent="0.25">
      <c r="N74" s="253">
        <v>29</v>
      </c>
      <c r="O74" s="253" t="s">
        <v>364</v>
      </c>
      <c r="P74" s="253">
        <v>24.82</v>
      </c>
    </row>
    <row r="75" spans="14:16" ht="15" x14ac:dyDescent="0.25">
      <c r="N75" s="253">
        <v>6</v>
      </c>
      <c r="O75" s="253" t="s">
        <v>365</v>
      </c>
      <c r="P75" s="253">
        <v>22.6</v>
      </c>
    </row>
    <row r="76" spans="14:16" ht="15" x14ac:dyDescent="0.25">
      <c r="N76" s="253">
        <v>8</v>
      </c>
      <c r="O76" s="253" t="s">
        <v>365</v>
      </c>
      <c r="P76" s="253">
        <v>8.8699999999999992</v>
      </c>
    </row>
    <row r="77" spans="14:16" ht="15" x14ac:dyDescent="0.25">
      <c r="N77" s="253">
        <v>13</v>
      </c>
      <c r="O77" s="253" t="s">
        <v>365</v>
      </c>
      <c r="P77" s="253">
        <v>30.93</v>
      </c>
    </row>
    <row r="78" spans="14:16" ht="15" x14ac:dyDescent="0.25">
      <c r="N78" s="253">
        <v>14</v>
      </c>
      <c r="O78" s="253" t="s">
        <v>365</v>
      </c>
      <c r="P78" s="253">
        <v>5.86</v>
      </c>
    </row>
    <row r="79" spans="14:16" ht="15" x14ac:dyDescent="0.25">
      <c r="N79" s="253">
        <v>21</v>
      </c>
      <c r="O79" s="253" t="s">
        <v>365</v>
      </c>
      <c r="P79" s="253">
        <v>15.28</v>
      </c>
    </row>
    <row r="80" spans="14:16" ht="15" x14ac:dyDescent="0.25">
      <c r="N80" s="253">
        <v>22</v>
      </c>
      <c r="O80" s="253" t="s">
        <v>365</v>
      </c>
      <c r="P80" s="253">
        <v>9.9</v>
      </c>
    </row>
    <row r="81" spans="14:16" ht="15" x14ac:dyDescent="0.25">
      <c r="N81" s="253"/>
      <c r="O81" s="253"/>
      <c r="P81" s="253">
        <f>SUM(P71:P80)</f>
        <v>182.45000000000002</v>
      </c>
    </row>
    <row r="82" spans="14:16" x14ac:dyDescent="0.2">
      <c r="N82" s="274"/>
      <c r="O82" t="s">
        <v>396</v>
      </c>
      <c r="P82">
        <f>P70+P81</f>
        <v>1737.7399999999998</v>
      </c>
    </row>
  </sheetData>
  <mergeCells count="16">
    <mergeCell ref="N1:P1"/>
    <mergeCell ref="B33:E33"/>
    <mergeCell ref="B38:E38"/>
    <mergeCell ref="B39:D40"/>
    <mergeCell ref="B43:E43"/>
    <mergeCell ref="B18:L18"/>
    <mergeCell ref="B22:D23"/>
    <mergeCell ref="E22:E23"/>
    <mergeCell ref="B24:D25"/>
    <mergeCell ref="B27:E27"/>
    <mergeCell ref="B31:E32"/>
    <mergeCell ref="B1:L1"/>
    <mergeCell ref="B2:B3"/>
    <mergeCell ref="C2:L2"/>
    <mergeCell ref="E10:F10"/>
    <mergeCell ref="H10:L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03CD-BC70-4130-B166-8020EA9FD00A}">
  <dimension ref="A1:M103"/>
  <sheetViews>
    <sheetView showGridLines="0" topLeftCell="A35" zoomScale="70" zoomScaleNormal="70" workbookViewId="0">
      <selection activeCell="C104" sqref="C104"/>
    </sheetView>
  </sheetViews>
  <sheetFormatPr baseColWidth="10" defaultColWidth="11" defaultRowHeight="16.5" x14ac:dyDescent="0.3"/>
  <cols>
    <col min="1" max="1" width="17.875" style="1" customWidth="1"/>
    <col min="2" max="2" width="25.875" style="1" customWidth="1"/>
    <col min="3" max="3" width="16.125" style="1" customWidth="1"/>
    <col min="4" max="4" width="15" style="1" customWidth="1"/>
    <col min="5" max="5" width="14.375" style="1" customWidth="1"/>
    <col min="6" max="6" width="21.625" style="1" customWidth="1"/>
    <col min="7" max="7" width="24.625" style="1" customWidth="1"/>
    <col min="8" max="8" width="4" style="1" customWidth="1"/>
    <col min="9" max="9" width="27" style="1" customWidth="1"/>
    <col min="10" max="10" width="27.125" style="1" customWidth="1"/>
    <col min="11" max="11" width="16.625" style="1" customWidth="1"/>
    <col min="12" max="12" width="18.375" style="1" customWidth="1"/>
    <col min="13" max="13" width="15.375" style="1" customWidth="1"/>
    <col min="14" max="16384" width="11" style="1"/>
  </cols>
  <sheetData>
    <row r="1" spans="1:12" ht="17.25" thickBot="1" x14ac:dyDescent="0.35"/>
    <row r="2" spans="1:12" ht="17.25" thickBot="1" x14ac:dyDescent="0.35">
      <c r="A2" s="636" t="s">
        <v>397</v>
      </c>
      <c r="B2" s="637"/>
      <c r="C2" s="637"/>
      <c r="D2" s="637"/>
      <c r="E2" s="637"/>
      <c r="F2" s="637"/>
      <c r="G2" s="637"/>
      <c r="H2" s="637"/>
      <c r="I2" s="637"/>
      <c r="J2" s="637"/>
      <c r="K2" s="637"/>
      <c r="L2" s="637"/>
    </row>
    <row r="3" spans="1:12" ht="17.25" thickBot="1" x14ac:dyDescent="0.35"/>
    <row r="4" spans="1:12" ht="17.25" thickBot="1" x14ac:dyDescent="0.35">
      <c r="A4" s="638" t="s">
        <v>151</v>
      </c>
      <c r="B4" s="639"/>
      <c r="C4" s="639"/>
      <c r="D4" s="639"/>
      <c r="E4" s="639"/>
      <c r="F4" s="639"/>
      <c r="G4" s="272"/>
      <c r="H4" s="640" t="s">
        <v>398</v>
      </c>
      <c r="I4" s="641"/>
      <c r="J4" s="641"/>
      <c r="K4" s="641"/>
      <c r="L4" s="641"/>
    </row>
    <row r="5" spans="1:12" x14ac:dyDescent="0.3">
      <c r="A5" s="642" t="s">
        <v>155</v>
      </c>
      <c r="B5" s="625"/>
      <c r="C5" s="625"/>
      <c r="D5" s="625"/>
      <c r="E5" s="625"/>
      <c r="F5" s="625"/>
      <c r="G5" s="626"/>
      <c r="H5" s="621" t="s">
        <v>156</v>
      </c>
      <c r="I5" s="643"/>
      <c r="J5" s="643"/>
      <c r="K5" s="643"/>
      <c r="L5" s="644"/>
    </row>
    <row r="6" spans="1:12" ht="129" customHeight="1" thickBot="1" x14ac:dyDescent="0.35">
      <c r="A6" s="642"/>
      <c r="B6" s="625"/>
      <c r="C6" s="625"/>
      <c r="D6" s="625"/>
      <c r="E6" s="625"/>
      <c r="F6" s="625"/>
      <c r="G6" s="626"/>
      <c r="H6" s="645"/>
      <c r="I6" s="646"/>
      <c r="J6" s="646"/>
      <c r="K6" s="646"/>
      <c r="L6" s="647"/>
    </row>
    <row r="7" spans="1:12" ht="17.25" thickBot="1" x14ac:dyDescent="0.35">
      <c r="A7" s="630" t="s">
        <v>399</v>
      </c>
      <c r="B7" s="631"/>
      <c r="C7" s="631"/>
      <c r="D7" s="632"/>
      <c r="E7" s="633" t="s">
        <v>400</v>
      </c>
      <c r="F7" s="634"/>
      <c r="G7" s="635"/>
      <c r="H7" s="648" t="s">
        <v>172</v>
      </c>
      <c r="I7" s="649"/>
      <c r="J7" s="649"/>
      <c r="K7" s="649"/>
      <c r="L7" s="649"/>
    </row>
    <row r="8" spans="1:12" ht="17.25" thickBot="1" x14ac:dyDescent="0.35">
      <c r="A8" s="621" t="s">
        <v>191</v>
      </c>
      <c r="B8" s="622"/>
      <c r="C8" s="622"/>
      <c r="D8" s="623"/>
      <c r="E8" s="627" t="s">
        <v>401</v>
      </c>
      <c r="F8" s="628"/>
      <c r="G8" s="629"/>
      <c r="H8" s="51"/>
      <c r="I8" s="52"/>
      <c r="J8" s="52"/>
      <c r="K8" s="53"/>
      <c r="L8" s="54"/>
    </row>
    <row r="9" spans="1:12" ht="17.25" thickBot="1" x14ac:dyDescent="0.35">
      <c r="A9" s="624"/>
      <c r="B9" s="625"/>
      <c r="C9" s="625"/>
      <c r="D9" s="626"/>
      <c r="E9" s="627"/>
      <c r="F9" s="628"/>
      <c r="G9" s="629"/>
      <c r="H9" s="55"/>
      <c r="I9" s="440" t="s">
        <v>192</v>
      </c>
      <c r="J9" s="441"/>
      <c r="K9" s="441"/>
      <c r="L9" s="442"/>
    </row>
    <row r="10" spans="1:12" x14ac:dyDescent="0.3">
      <c r="A10" s="624"/>
      <c r="B10" s="625"/>
      <c r="C10" s="625"/>
      <c r="D10" s="626"/>
      <c r="E10" s="627"/>
      <c r="F10" s="628"/>
      <c r="G10" s="629"/>
      <c r="H10" s="55"/>
      <c r="I10" s="117" t="s">
        <v>196</v>
      </c>
      <c r="J10" s="111" t="s">
        <v>197</v>
      </c>
      <c r="K10" s="117" t="s">
        <v>198</v>
      </c>
      <c r="L10" s="111" t="s">
        <v>197</v>
      </c>
    </row>
    <row r="11" spans="1:12" ht="17.25" customHeight="1" thickBot="1" x14ac:dyDescent="0.35">
      <c r="A11" s="624"/>
      <c r="B11" s="625"/>
      <c r="C11" s="625"/>
      <c r="D11" s="626"/>
      <c r="E11" s="627"/>
      <c r="F11" s="628"/>
      <c r="G11" s="629"/>
      <c r="H11" s="55"/>
      <c r="I11" s="120">
        <f>'Viajes compartidos'!AC214</f>
        <v>22</v>
      </c>
      <c r="J11" s="104" t="s">
        <v>201</v>
      </c>
      <c r="K11" s="120">
        <f>'Viajes compartidos'!AN218</f>
        <v>1334.7139999999997</v>
      </c>
      <c r="L11" s="121" t="s">
        <v>202</v>
      </c>
    </row>
    <row r="12" spans="1:12" ht="19.5" thickBot="1" x14ac:dyDescent="0.35">
      <c r="A12" s="630" t="s">
        <v>402</v>
      </c>
      <c r="B12" s="631"/>
      <c r="C12" s="631"/>
      <c r="D12" s="632"/>
      <c r="E12" s="633" t="s">
        <v>403</v>
      </c>
      <c r="F12" s="634"/>
      <c r="G12" s="635"/>
      <c r="H12" s="61"/>
      <c r="I12" s="440" t="s">
        <v>207</v>
      </c>
      <c r="J12" s="441"/>
      <c r="K12" s="441"/>
      <c r="L12" s="442"/>
    </row>
    <row r="13" spans="1:12" ht="17.25" thickBot="1" x14ac:dyDescent="0.35">
      <c r="A13" s="612">
        <v>2023</v>
      </c>
      <c r="B13" s="613"/>
      <c r="C13" s="613"/>
      <c r="D13" s="614"/>
      <c r="E13" s="615" t="str">
        <f>J11</f>
        <v>viajes compartidos/año</v>
      </c>
      <c r="F13" s="616"/>
      <c r="G13" s="617"/>
      <c r="H13" s="61"/>
      <c r="I13" s="465">
        <f>K11/1000</f>
        <v>1.3347139999999997</v>
      </c>
      <c r="J13" s="466"/>
      <c r="K13" s="466"/>
      <c r="L13" s="467"/>
    </row>
    <row r="14" spans="1:12" ht="17.25" thickBot="1" x14ac:dyDescent="0.35">
      <c r="A14" s="618" t="s">
        <v>404</v>
      </c>
      <c r="B14" s="619"/>
      <c r="C14" s="619"/>
      <c r="D14" s="619"/>
      <c r="E14" s="619"/>
      <c r="F14" s="620"/>
      <c r="G14" s="278"/>
      <c r="H14" s="61"/>
      <c r="I14" s="468"/>
      <c r="J14" s="469"/>
      <c r="K14" s="469"/>
      <c r="L14" s="470"/>
    </row>
    <row r="15" spans="1:12" x14ac:dyDescent="0.3">
      <c r="A15" s="65" t="s">
        <v>405</v>
      </c>
      <c r="B15" s="66">
        <v>2019</v>
      </c>
      <c r="C15" s="66">
        <v>2020</v>
      </c>
      <c r="D15" s="66">
        <v>2021</v>
      </c>
      <c r="E15" s="66">
        <v>2022</v>
      </c>
      <c r="F15" s="66">
        <v>2023</v>
      </c>
      <c r="G15" s="67"/>
      <c r="H15" s="61"/>
      <c r="I15" s="63"/>
      <c r="J15" s="63"/>
      <c r="K15" s="63"/>
      <c r="L15" s="64"/>
    </row>
    <row r="16" spans="1:12" ht="17.25" thickBot="1" x14ac:dyDescent="0.35">
      <c r="A16" s="68" t="s">
        <v>406</v>
      </c>
      <c r="B16" s="312">
        <f>5609.27/1000</f>
        <v>5.6092700000000004</v>
      </c>
      <c r="C16" s="312">
        <f>454.1/1000</f>
        <v>0.4541</v>
      </c>
      <c r="D16" s="312">
        <v>0</v>
      </c>
      <c r="E16" s="312">
        <f>1707/1000</f>
        <v>1.7070000000000001</v>
      </c>
      <c r="F16" s="312">
        <f>I13</f>
        <v>1.3347139999999997</v>
      </c>
      <c r="G16" s="279"/>
      <c r="H16" s="70"/>
      <c r="I16" s="71"/>
      <c r="J16" s="71"/>
      <c r="K16" s="71"/>
      <c r="L16" s="72"/>
    </row>
    <row r="18" spans="1:13" ht="17.25" thickBot="1" x14ac:dyDescent="0.35"/>
    <row r="19" spans="1:13" ht="17.25" thickBot="1" x14ac:dyDescent="0.35">
      <c r="A19" s="636" t="s">
        <v>407</v>
      </c>
      <c r="B19" s="637"/>
      <c r="C19" s="637"/>
      <c r="D19" s="637"/>
      <c r="E19" s="637"/>
      <c r="F19" s="637"/>
      <c r="G19" s="637"/>
      <c r="H19" s="637"/>
      <c r="I19" s="637"/>
      <c r="J19" s="637"/>
      <c r="K19" s="637"/>
      <c r="L19" s="637"/>
    </row>
    <row r="20" spans="1:13" ht="17.25" thickBot="1" x14ac:dyDescent="0.35"/>
    <row r="21" spans="1:13" ht="17.25" thickBot="1" x14ac:dyDescent="0.35">
      <c r="A21" s="638" t="s">
        <v>151</v>
      </c>
      <c r="B21" s="639"/>
      <c r="C21" s="639"/>
      <c r="D21" s="639"/>
      <c r="E21" s="639"/>
      <c r="F21" s="639"/>
      <c r="G21" s="272"/>
      <c r="H21" s="640" t="s">
        <v>398</v>
      </c>
      <c r="I21" s="641"/>
      <c r="J21" s="641"/>
      <c r="K21" s="641"/>
      <c r="L21" s="641"/>
    </row>
    <row r="22" spans="1:13" ht="16.5" customHeight="1" x14ac:dyDescent="0.3">
      <c r="A22" s="642" t="s">
        <v>408</v>
      </c>
      <c r="B22" s="625"/>
      <c r="C22" s="625"/>
      <c r="D22" s="625"/>
      <c r="E22" s="625"/>
      <c r="F22" s="625"/>
      <c r="G22" s="626"/>
      <c r="H22" s="621" t="s">
        <v>409</v>
      </c>
      <c r="I22" s="643"/>
      <c r="J22" s="643"/>
      <c r="K22" s="643"/>
      <c r="L22" s="644"/>
    </row>
    <row r="23" spans="1:13" ht="138.75" customHeight="1" thickBot="1" x14ac:dyDescent="0.35">
      <c r="A23" s="642"/>
      <c r="B23" s="625"/>
      <c r="C23" s="625"/>
      <c r="D23" s="625"/>
      <c r="E23" s="625"/>
      <c r="F23" s="625"/>
      <c r="G23" s="626"/>
      <c r="H23" s="645"/>
      <c r="I23" s="646"/>
      <c r="J23" s="646"/>
      <c r="K23" s="646"/>
      <c r="L23" s="647"/>
      <c r="M23" s="275"/>
    </row>
    <row r="24" spans="1:13" ht="17.25" thickBot="1" x14ac:dyDescent="0.35">
      <c r="A24" s="630" t="s">
        <v>399</v>
      </c>
      <c r="B24" s="631"/>
      <c r="C24" s="631"/>
      <c r="D24" s="632"/>
      <c r="E24" s="633" t="s">
        <v>400</v>
      </c>
      <c r="F24" s="634"/>
      <c r="G24" s="635"/>
      <c r="H24" s="648" t="s">
        <v>172</v>
      </c>
      <c r="I24" s="649"/>
      <c r="J24" s="649"/>
      <c r="K24" s="649"/>
      <c r="L24" s="649"/>
    </row>
    <row r="25" spans="1:13" ht="31.5" customHeight="1" thickBot="1" x14ac:dyDescent="0.35">
      <c r="A25" s="621" t="s">
        <v>410</v>
      </c>
      <c r="B25" s="622"/>
      <c r="C25" s="622"/>
      <c r="D25" s="623"/>
      <c r="E25" s="627" t="s">
        <v>411</v>
      </c>
      <c r="F25" s="628"/>
      <c r="G25" s="629"/>
      <c r="H25" s="51"/>
      <c r="I25" s="52"/>
      <c r="J25" s="52"/>
      <c r="K25" s="53"/>
      <c r="L25" s="54"/>
    </row>
    <row r="26" spans="1:13" ht="30" customHeight="1" x14ac:dyDescent="0.3">
      <c r="A26" s="624"/>
      <c r="B26" s="625"/>
      <c r="C26" s="625"/>
      <c r="D26" s="626"/>
      <c r="E26" s="627"/>
      <c r="F26" s="628"/>
      <c r="G26" s="629"/>
      <c r="H26" s="55"/>
      <c r="I26" s="56" t="s">
        <v>412</v>
      </c>
      <c r="J26" s="277">
        <f>'Carro golf'!E21</f>
        <v>8.6123520000000013</v>
      </c>
      <c r="K26" s="60" t="s">
        <v>413</v>
      </c>
      <c r="L26" s="57"/>
    </row>
    <row r="27" spans="1:13" ht="23.25" customHeight="1" x14ac:dyDescent="0.3">
      <c r="A27" s="624"/>
      <c r="B27" s="625"/>
      <c r="C27" s="625"/>
      <c r="D27" s="626"/>
      <c r="E27" s="627"/>
      <c r="F27" s="628"/>
      <c r="G27" s="629"/>
      <c r="H27" s="55"/>
      <c r="I27" s="58" t="s">
        <v>414</v>
      </c>
      <c r="J27" s="59">
        <f>'Carro golf'!E25</f>
        <v>333.80608853597363</v>
      </c>
      <c r="K27" s="60" t="s">
        <v>413</v>
      </c>
      <c r="L27" s="57"/>
    </row>
    <row r="28" spans="1:13" ht="46.5" customHeight="1" thickBot="1" x14ac:dyDescent="0.35">
      <c r="A28" s="624"/>
      <c r="B28" s="625"/>
      <c r="C28" s="625"/>
      <c r="D28" s="626"/>
      <c r="E28" s="627"/>
      <c r="F28" s="628"/>
      <c r="G28" s="629"/>
      <c r="H28" s="55"/>
      <c r="I28" s="725" t="s">
        <v>208</v>
      </c>
      <c r="J28" s="681">
        <f>'Carro golf'!E30</f>
        <v>0.32519373653597367</v>
      </c>
      <c r="K28" s="683" t="s">
        <v>415</v>
      </c>
      <c r="L28" s="57"/>
    </row>
    <row r="29" spans="1:13" ht="30" customHeight="1" thickBot="1" x14ac:dyDescent="0.35">
      <c r="A29" s="630" t="s">
        <v>402</v>
      </c>
      <c r="B29" s="631"/>
      <c r="C29" s="631"/>
      <c r="D29" s="632"/>
      <c r="E29" s="633" t="s">
        <v>403</v>
      </c>
      <c r="F29" s="634"/>
      <c r="G29" s="635"/>
      <c r="H29" s="61"/>
      <c r="I29" s="726"/>
      <c r="J29" s="682"/>
      <c r="K29" s="684"/>
      <c r="L29" s="57"/>
    </row>
    <row r="30" spans="1:13" ht="27.75" customHeight="1" thickBot="1" x14ac:dyDescent="0.35">
      <c r="A30" s="612">
        <v>2023</v>
      </c>
      <c r="B30" s="613"/>
      <c r="C30" s="613"/>
      <c r="D30" s="614"/>
      <c r="E30" s="615">
        <f>J28</f>
        <v>0.32519373653597367</v>
      </c>
      <c r="F30" s="616"/>
      <c r="G30" s="617"/>
      <c r="H30" s="61"/>
      <c r="I30" s="63"/>
      <c r="J30" s="63"/>
      <c r="K30" s="63"/>
      <c r="L30" s="64"/>
    </row>
    <row r="31" spans="1:13" ht="17.25" thickBot="1" x14ac:dyDescent="0.35">
      <c r="A31" s="618" t="s">
        <v>404</v>
      </c>
      <c r="B31" s="619"/>
      <c r="C31" s="619"/>
      <c r="D31" s="619"/>
      <c r="E31" s="619"/>
      <c r="F31" s="620"/>
      <c r="G31" s="278"/>
      <c r="H31" s="61"/>
      <c r="I31" s="63"/>
      <c r="J31" s="63"/>
      <c r="K31" s="63"/>
      <c r="L31" s="64"/>
    </row>
    <row r="32" spans="1:13" x14ac:dyDescent="0.3">
      <c r="A32" s="65" t="s">
        <v>405</v>
      </c>
      <c r="B32" s="66">
        <v>2023</v>
      </c>
      <c r="C32" s="66"/>
      <c r="D32" s="66"/>
      <c r="E32" s="66"/>
      <c r="F32" s="67"/>
      <c r="G32" s="67"/>
      <c r="H32" s="61"/>
      <c r="I32" s="63"/>
      <c r="J32" s="63"/>
      <c r="K32" s="63"/>
      <c r="L32" s="64"/>
    </row>
    <row r="33" spans="1:12" ht="14.45" customHeight="1" thickBot="1" x14ac:dyDescent="0.35">
      <c r="A33" s="68" t="s">
        <v>406</v>
      </c>
      <c r="B33" s="69">
        <f>E30</f>
        <v>0.32519373653597367</v>
      </c>
      <c r="C33" s="69"/>
      <c r="D33" s="69"/>
      <c r="E33" s="69"/>
      <c r="F33" s="279"/>
      <c r="G33" s="279"/>
      <c r="H33" s="70"/>
      <c r="I33" s="71"/>
      <c r="J33" s="71"/>
      <c r="K33" s="71"/>
      <c r="L33" s="72"/>
    </row>
    <row r="34" spans="1:12" ht="17.25" thickBot="1" x14ac:dyDescent="0.35"/>
    <row r="35" spans="1:12" ht="17.25" thickBot="1" x14ac:dyDescent="0.35">
      <c r="A35" s="636" t="s">
        <v>416</v>
      </c>
      <c r="B35" s="637"/>
      <c r="C35" s="637"/>
      <c r="D35" s="637"/>
      <c r="E35" s="637"/>
      <c r="F35" s="637"/>
      <c r="G35" s="637"/>
      <c r="H35" s="637"/>
      <c r="I35" s="637"/>
      <c r="J35" s="637"/>
      <c r="K35" s="637"/>
      <c r="L35" s="637"/>
    </row>
    <row r="36" spans="1:12" ht="17.25" thickBot="1" x14ac:dyDescent="0.35"/>
    <row r="37" spans="1:12" ht="17.25" thickBot="1" x14ac:dyDescent="0.35">
      <c r="A37" s="638" t="s">
        <v>151</v>
      </c>
      <c r="B37" s="639"/>
      <c r="C37" s="639"/>
      <c r="D37" s="639"/>
      <c r="E37" s="639"/>
      <c r="F37" s="639"/>
      <c r="G37" s="272"/>
      <c r="H37" s="640" t="s">
        <v>398</v>
      </c>
      <c r="I37" s="641"/>
      <c r="J37" s="641"/>
      <c r="K37" s="641"/>
      <c r="L37" s="641"/>
    </row>
    <row r="38" spans="1:12" ht="45" customHeight="1" x14ac:dyDescent="0.3">
      <c r="A38" s="650" t="s">
        <v>417</v>
      </c>
      <c r="B38" s="651"/>
      <c r="C38" s="651"/>
      <c r="D38" s="651"/>
      <c r="E38" s="651"/>
      <c r="F38" s="651"/>
      <c r="G38" s="280"/>
      <c r="H38" s="654" t="s">
        <v>418</v>
      </c>
      <c r="I38" s="622"/>
      <c r="J38" s="622"/>
      <c r="K38" s="622"/>
      <c r="L38" s="623"/>
    </row>
    <row r="39" spans="1:12" ht="97.15" customHeight="1" thickBot="1" x14ac:dyDescent="0.35">
      <c r="A39" s="652"/>
      <c r="B39" s="653"/>
      <c r="C39" s="653"/>
      <c r="D39" s="653"/>
      <c r="E39" s="653"/>
      <c r="F39" s="653"/>
      <c r="G39" s="13"/>
      <c r="H39" s="624"/>
      <c r="I39" s="625"/>
      <c r="J39" s="625"/>
      <c r="K39" s="625"/>
      <c r="L39" s="626"/>
    </row>
    <row r="40" spans="1:12" ht="17.25" thickBot="1" x14ac:dyDescent="0.35">
      <c r="A40" s="630" t="s">
        <v>399</v>
      </c>
      <c r="B40" s="631"/>
      <c r="C40" s="631"/>
      <c r="D40" s="632"/>
      <c r="E40" s="685" t="s">
        <v>400</v>
      </c>
      <c r="F40" s="686"/>
      <c r="G40" s="276"/>
      <c r="H40" s="720" t="s">
        <v>172</v>
      </c>
      <c r="I40" s="721"/>
      <c r="J40" s="721"/>
      <c r="K40" s="721"/>
      <c r="L40" s="722"/>
    </row>
    <row r="41" spans="1:12" ht="31.5" customHeight="1" x14ac:dyDescent="0.3">
      <c r="A41" s="621" t="s">
        <v>419</v>
      </c>
      <c r="B41" s="622"/>
      <c r="C41" s="622"/>
      <c r="D41" s="623"/>
      <c r="E41" s="677" t="s">
        <v>420</v>
      </c>
      <c r="F41" s="678"/>
      <c r="G41" s="273"/>
      <c r="H41" s="717" t="s">
        <v>389</v>
      </c>
      <c r="I41" s="718"/>
      <c r="J41" s="718"/>
      <c r="K41" s="718"/>
      <c r="L41" s="719"/>
    </row>
    <row r="42" spans="1:12" ht="30" customHeight="1" x14ac:dyDescent="0.3">
      <c r="A42" s="624"/>
      <c r="B42" s="625"/>
      <c r="C42" s="625"/>
      <c r="D42" s="626"/>
      <c r="E42" s="624"/>
      <c r="F42" s="626"/>
      <c r="G42" s="273"/>
      <c r="H42" s="281" t="s">
        <v>350</v>
      </c>
      <c r="I42" s="282"/>
      <c r="J42" s="282"/>
      <c r="K42" s="283">
        <f>Bicicletas!E36</f>
        <v>4.5851803200000001</v>
      </c>
      <c r="L42" s="284"/>
    </row>
    <row r="43" spans="1:12" ht="23.25" customHeight="1" x14ac:dyDescent="0.3">
      <c r="A43" s="624"/>
      <c r="B43" s="625"/>
      <c r="C43" s="625"/>
      <c r="D43" s="626"/>
      <c r="E43" s="624"/>
      <c r="F43" s="626"/>
      <c r="G43" s="273"/>
      <c r="H43" s="717" t="s">
        <v>394</v>
      </c>
      <c r="I43" s="723"/>
      <c r="J43" s="723"/>
      <c r="K43" s="723"/>
      <c r="L43" s="724"/>
    </row>
    <row r="44" spans="1:12" ht="24" customHeight="1" thickBot="1" x14ac:dyDescent="0.35">
      <c r="A44" s="624"/>
      <c r="B44" s="625"/>
      <c r="C44" s="625"/>
      <c r="D44" s="626"/>
      <c r="E44" s="624"/>
      <c r="F44" s="626"/>
      <c r="G44" s="273"/>
      <c r="H44" s="281" t="s">
        <v>395</v>
      </c>
      <c r="I44" s="282"/>
      <c r="J44" s="282"/>
      <c r="K44" s="285">
        <f>Bicicletas!E39</f>
        <v>87.700606183745577</v>
      </c>
      <c r="L44" s="284"/>
    </row>
    <row r="45" spans="1:12" ht="30" customHeight="1" thickBot="1" x14ac:dyDescent="0.35">
      <c r="A45" s="630" t="s">
        <v>402</v>
      </c>
      <c r="B45" s="631"/>
      <c r="C45" s="631"/>
      <c r="D45" s="632"/>
      <c r="E45" s="685" t="s">
        <v>421</v>
      </c>
      <c r="F45" s="686"/>
      <c r="G45" s="276"/>
      <c r="H45" s="281" t="s">
        <v>354</v>
      </c>
      <c r="I45" s="282"/>
      <c r="J45" s="282"/>
      <c r="K45" s="285">
        <f>Bicicletas!E41</f>
        <v>205.02446002241817</v>
      </c>
      <c r="L45" s="284"/>
    </row>
    <row r="46" spans="1:12" ht="27.75" customHeight="1" thickBot="1" x14ac:dyDescent="0.35">
      <c r="A46" s="612">
        <v>2022</v>
      </c>
      <c r="B46" s="613"/>
      <c r="C46" s="613"/>
      <c r="D46" s="614"/>
      <c r="E46" s="707">
        <f>K47/1000</f>
        <v>0.20043927970241815</v>
      </c>
      <c r="F46" s="708"/>
      <c r="G46" s="286"/>
      <c r="H46" s="717" t="s">
        <v>355</v>
      </c>
      <c r="I46" s="718"/>
      <c r="J46" s="718"/>
      <c r="K46" s="718"/>
      <c r="L46" s="719"/>
    </row>
    <row r="47" spans="1:12" ht="19.149999999999999" customHeight="1" thickBot="1" x14ac:dyDescent="0.35">
      <c r="A47" s="618" t="s">
        <v>404</v>
      </c>
      <c r="B47" s="619"/>
      <c r="C47" s="619"/>
      <c r="D47" s="619"/>
      <c r="E47" s="619"/>
      <c r="F47" s="620"/>
      <c r="G47" s="278"/>
      <c r="H47" s="281" t="s">
        <v>356</v>
      </c>
      <c r="I47" s="282"/>
      <c r="J47" s="282"/>
      <c r="K47" s="285">
        <f>K45-K42</f>
        <v>200.43927970241816</v>
      </c>
      <c r="L47" s="284"/>
    </row>
    <row r="48" spans="1:12" ht="30.75" customHeight="1" x14ac:dyDescent="0.3">
      <c r="A48" s="65" t="s">
        <v>422</v>
      </c>
      <c r="B48" s="66">
        <v>2022</v>
      </c>
      <c r="C48" s="66">
        <v>2023</v>
      </c>
      <c r="D48" s="66"/>
      <c r="E48" s="66"/>
      <c r="F48" s="67"/>
      <c r="G48" s="286"/>
      <c r="H48" s="281"/>
      <c r="I48" s="282"/>
      <c r="J48" s="282"/>
      <c r="K48" s="282"/>
      <c r="L48" s="284"/>
    </row>
    <row r="49" spans="1:12" ht="14.45" customHeight="1" thickBot="1" x14ac:dyDescent="0.35">
      <c r="A49" s="68" t="s">
        <v>423</v>
      </c>
      <c r="B49" s="69">
        <v>1096.98</v>
      </c>
      <c r="C49" s="287">
        <f>Bicicletas!P82</f>
        <v>1737.7399999999998</v>
      </c>
      <c r="D49" s="69"/>
      <c r="E49" s="69"/>
      <c r="F49" s="79"/>
      <c r="G49" s="288"/>
      <c r="H49" s="289"/>
      <c r="I49" s="290"/>
      <c r="J49" s="290"/>
      <c r="K49" s="290"/>
      <c r="L49" s="291"/>
    </row>
    <row r="50" spans="1:12" ht="17.25" thickBot="1" x14ac:dyDescent="0.35"/>
    <row r="51" spans="1:12" ht="17.25" thickBot="1" x14ac:dyDescent="0.35">
      <c r="A51" s="636" t="s">
        <v>424</v>
      </c>
      <c r="B51" s="637"/>
      <c r="C51" s="637"/>
      <c r="D51" s="637"/>
      <c r="E51" s="637"/>
      <c r="F51" s="637"/>
      <c r="G51" s="637"/>
      <c r="H51" s="637"/>
      <c r="I51" s="637"/>
      <c r="J51" s="637"/>
      <c r="K51" s="637"/>
      <c r="L51" s="637"/>
    </row>
    <row r="52" spans="1:12" ht="17.25" thickBot="1" x14ac:dyDescent="0.35"/>
    <row r="53" spans="1:12" ht="17.25" thickBot="1" x14ac:dyDescent="0.35">
      <c r="A53" s="638" t="s">
        <v>151</v>
      </c>
      <c r="B53" s="639"/>
      <c r="C53" s="639"/>
      <c r="D53" s="639"/>
      <c r="E53" s="639"/>
      <c r="F53" s="639"/>
      <c r="G53" s="272"/>
      <c r="H53" s="640" t="s">
        <v>398</v>
      </c>
      <c r="I53" s="641"/>
      <c r="J53" s="641"/>
      <c r="K53" s="641"/>
      <c r="L53" s="641"/>
    </row>
    <row r="54" spans="1:12" x14ac:dyDescent="0.3">
      <c r="A54" s="650" t="s">
        <v>425</v>
      </c>
      <c r="B54" s="651"/>
      <c r="C54" s="651"/>
      <c r="D54" s="651"/>
      <c r="E54" s="651"/>
      <c r="F54" s="651"/>
      <c r="G54" s="280"/>
      <c r="H54" s="654" t="s">
        <v>426</v>
      </c>
      <c r="I54" s="709"/>
      <c r="J54" s="709"/>
      <c r="K54" s="709"/>
      <c r="L54" s="710"/>
    </row>
    <row r="55" spans="1:12" ht="84" customHeight="1" thickBot="1" x14ac:dyDescent="0.35">
      <c r="A55" s="652"/>
      <c r="B55" s="653"/>
      <c r="C55" s="653"/>
      <c r="D55" s="653"/>
      <c r="E55" s="653"/>
      <c r="F55" s="653"/>
      <c r="G55" s="13"/>
      <c r="H55" s="711"/>
      <c r="I55" s="712"/>
      <c r="J55" s="712"/>
      <c r="K55" s="712"/>
      <c r="L55" s="713"/>
    </row>
    <row r="56" spans="1:12" ht="17.25" thickBot="1" x14ac:dyDescent="0.35">
      <c r="A56" s="630" t="s">
        <v>399</v>
      </c>
      <c r="B56" s="631"/>
      <c r="C56" s="631"/>
      <c r="D56" s="632"/>
      <c r="E56" s="714" t="s">
        <v>400</v>
      </c>
      <c r="F56" s="686"/>
      <c r="G56" s="276"/>
      <c r="H56" s="55"/>
      <c r="I56" s="715" t="s">
        <v>172</v>
      </c>
      <c r="J56" s="716"/>
      <c r="K56" s="716"/>
      <c r="L56" s="716"/>
    </row>
    <row r="57" spans="1:12" ht="17.25" thickBot="1" x14ac:dyDescent="0.35">
      <c r="A57" s="621" t="s">
        <v>427</v>
      </c>
      <c r="B57" s="622"/>
      <c r="C57" s="622"/>
      <c r="D57" s="623"/>
      <c r="E57" s="677" t="s">
        <v>428</v>
      </c>
      <c r="F57" s="678"/>
      <c r="G57" s="273"/>
      <c r="H57" s="51"/>
      <c r="I57" s="685"/>
      <c r="J57" s="685"/>
      <c r="K57" s="685"/>
      <c r="L57" s="686"/>
    </row>
    <row r="58" spans="1:12" ht="17.25" thickBot="1" x14ac:dyDescent="0.35">
      <c r="A58" s="624"/>
      <c r="B58" s="625"/>
      <c r="C58" s="625"/>
      <c r="D58" s="626"/>
      <c r="E58" s="624"/>
      <c r="F58" s="626"/>
      <c r="G58" s="273"/>
      <c r="H58" s="55"/>
      <c r="I58" s="292"/>
      <c r="J58" s="292"/>
      <c r="K58" s="292"/>
      <c r="L58" s="292" t="s">
        <v>429</v>
      </c>
    </row>
    <row r="59" spans="1:12" x14ac:dyDescent="0.3">
      <c r="A59" s="624"/>
      <c r="B59" s="625"/>
      <c r="C59" s="625"/>
      <c r="D59" s="626"/>
      <c r="E59" s="624"/>
      <c r="F59" s="626"/>
      <c r="G59" s="273"/>
      <c r="H59" s="55"/>
      <c r="I59" s="704" t="s">
        <v>430</v>
      </c>
      <c r="J59" s="293" t="s">
        <v>431</v>
      </c>
      <c r="K59" s="294">
        <f>'Cambio de Luminarias'!N8</f>
        <v>42768</v>
      </c>
      <c r="L59" s="295"/>
    </row>
    <row r="60" spans="1:12" ht="159" customHeight="1" thickBot="1" x14ac:dyDescent="0.35">
      <c r="A60" s="624"/>
      <c r="B60" s="625"/>
      <c r="C60" s="625"/>
      <c r="D60" s="626"/>
      <c r="E60" s="624"/>
      <c r="F60" s="626"/>
      <c r="G60" s="273"/>
      <c r="H60" s="55"/>
      <c r="I60" s="705"/>
      <c r="J60" s="296" t="s">
        <v>432</v>
      </c>
      <c r="K60" s="78">
        <f>'Cambio de Luminarias'!N9</f>
        <v>15147</v>
      </c>
      <c r="L60" s="297"/>
    </row>
    <row r="61" spans="1:12" ht="18.75" thickBot="1" x14ac:dyDescent="0.35">
      <c r="A61" s="630" t="s">
        <v>402</v>
      </c>
      <c r="B61" s="631"/>
      <c r="C61" s="631"/>
      <c r="D61" s="632"/>
      <c r="E61" s="685" t="s">
        <v>421</v>
      </c>
      <c r="F61" s="686"/>
      <c r="G61" s="276"/>
      <c r="H61" s="55"/>
      <c r="I61" s="705"/>
      <c r="J61" s="1" t="s">
        <v>433</v>
      </c>
      <c r="K61" s="1">
        <f>'Cambio de Luminarias'!J13</f>
        <v>583.20000000000005</v>
      </c>
      <c r="L61" s="282"/>
    </row>
    <row r="62" spans="1:12" ht="17.25" thickBot="1" x14ac:dyDescent="0.35">
      <c r="A62" s="612">
        <v>2022</v>
      </c>
      <c r="B62" s="613"/>
      <c r="C62" s="613"/>
      <c r="D62" s="614"/>
      <c r="E62" s="707">
        <f>L65</f>
        <v>3.2359182479999999</v>
      </c>
      <c r="F62" s="708"/>
      <c r="G62" s="286"/>
      <c r="H62" s="55"/>
      <c r="I62" s="706"/>
      <c r="J62" s="77" t="s">
        <v>434</v>
      </c>
      <c r="K62" s="298">
        <f>'Cambio de Luminarias'!J14</f>
        <v>2099.52</v>
      </c>
      <c r="L62" s="299"/>
    </row>
    <row r="63" spans="1:12" ht="17.25" thickBot="1" x14ac:dyDescent="0.35">
      <c r="A63" s="618" t="s">
        <v>404</v>
      </c>
      <c r="B63" s="619"/>
      <c r="C63" s="619"/>
      <c r="D63" s="619"/>
      <c r="E63" s="619"/>
      <c r="F63" s="620"/>
      <c r="G63" s="278"/>
      <c r="H63" s="55"/>
      <c r="I63" s="658" t="s">
        <v>435</v>
      </c>
      <c r="J63" s="659"/>
      <c r="K63" s="660"/>
      <c r="L63" s="299">
        <f>K59+K60+K61+K62</f>
        <v>60597.719999999994</v>
      </c>
    </row>
    <row r="64" spans="1:12" ht="17.25" customHeight="1" thickBot="1" x14ac:dyDescent="0.35">
      <c r="A64" s="340" t="s">
        <v>436</v>
      </c>
      <c r="B64" s="300">
        <v>2021</v>
      </c>
      <c r="C64" s="301">
        <v>2022</v>
      </c>
      <c r="D64" s="301"/>
      <c r="E64" s="301"/>
      <c r="F64" s="301">
        <v>2023</v>
      </c>
      <c r="G64" s="661"/>
      <c r="H64" s="302"/>
      <c r="I64" s="658" t="s">
        <v>437</v>
      </c>
      <c r="J64" s="659"/>
      <c r="K64" s="660"/>
      <c r="L64" s="282">
        <v>5.3400000000000003E-2</v>
      </c>
    </row>
    <row r="65" spans="1:12" x14ac:dyDescent="0.3">
      <c r="A65" s="341"/>
      <c r="B65" s="664"/>
      <c r="C65" s="667">
        <v>1.0786394160000001</v>
      </c>
      <c r="D65" s="668"/>
      <c r="E65" s="671"/>
      <c r="F65" s="674">
        <f>E62</f>
        <v>3.2359182479999999</v>
      </c>
      <c r="G65" s="662"/>
      <c r="H65" s="302"/>
      <c r="I65" s="658" t="s">
        <v>438</v>
      </c>
      <c r="J65" s="659"/>
      <c r="K65" s="660"/>
      <c r="L65" s="311">
        <f>(L63*L64)/1000</f>
        <v>3.2359182479999999</v>
      </c>
    </row>
    <row r="66" spans="1:12" x14ac:dyDescent="0.3">
      <c r="A66" s="341"/>
      <c r="B66" s="665"/>
      <c r="C66" s="662"/>
      <c r="D66" s="669"/>
      <c r="E66" s="672"/>
      <c r="F66" s="675"/>
      <c r="G66" s="662"/>
      <c r="H66" s="302"/>
    </row>
    <row r="67" spans="1:12" x14ac:dyDescent="0.3">
      <c r="A67" s="341"/>
      <c r="B67" s="665"/>
      <c r="C67" s="662"/>
      <c r="D67" s="669"/>
      <c r="E67" s="672"/>
      <c r="F67" s="675"/>
      <c r="G67" s="662"/>
      <c r="H67" s="302"/>
    </row>
    <row r="68" spans="1:12" x14ac:dyDescent="0.3">
      <c r="A68" s="341"/>
      <c r="B68" s="665"/>
      <c r="C68" s="662"/>
      <c r="D68" s="669"/>
      <c r="E68" s="672"/>
      <c r="F68" s="675"/>
      <c r="G68" s="662"/>
      <c r="H68" s="302"/>
    </row>
    <row r="69" spans="1:12" x14ac:dyDescent="0.3">
      <c r="A69" s="341"/>
      <c r="B69" s="665"/>
      <c r="C69" s="662"/>
      <c r="D69" s="669"/>
      <c r="E69" s="672"/>
      <c r="F69" s="675"/>
      <c r="G69" s="662"/>
      <c r="H69" s="302"/>
    </row>
    <row r="70" spans="1:12" ht="17.25" thickBot="1" x14ac:dyDescent="0.35">
      <c r="A70" s="347"/>
      <c r="B70" s="666"/>
      <c r="C70" s="663"/>
      <c r="D70" s="670"/>
      <c r="E70" s="673"/>
      <c r="F70" s="676"/>
      <c r="G70" s="663"/>
      <c r="H70" s="302"/>
    </row>
    <row r="71" spans="1:12" x14ac:dyDescent="0.3">
      <c r="A71" s="286"/>
      <c r="B71" s="303"/>
      <c r="C71" s="303"/>
      <c r="D71" s="303"/>
      <c r="E71" s="303"/>
      <c r="F71" s="304"/>
      <c r="G71" s="304"/>
      <c r="H71" s="302"/>
      <c r="I71" s="302"/>
      <c r="J71" s="305"/>
      <c r="K71" s="305"/>
      <c r="L71" s="302"/>
    </row>
    <row r="72" spans="1:12" ht="17.25" thickBot="1" x14ac:dyDescent="0.35"/>
    <row r="73" spans="1:12" ht="17.25" thickBot="1" x14ac:dyDescent="0.35">
      <c r="A73" s="636" t="s">
        <v>439</v>
      </c>
      <c r="B73" s="637"/>
      <c r="C73" s="637"/>
      <c r="D73" s="637"/>
      <c r="E73" s="637"/>
      <c r="F73" s="637"/>
      <c r="G73" s="637"/>
      <c r="H73" s="637"/>
      <c r="I73" s="637"/>
      <c r="J73" s="637"/>
      <c r="K73" s="637"/>
      <c r="L73" s="637"/>
    </row>
    <row r="74" spans="1:12" ht="17.25" thickBot="1" x14ac:dyDescent="0.35"/>
    <row r="75" spans="1:12" ht="17.25" thickBot="1" x14ac:dyDescent="0.35">
      <c r="A75" s="638" t="s">
        <v>151</v>
      </c>
      <c r="B75" s="639"/>
      <c r="C75" s="639"/>
      <c r="D75" s="639"/>
      <c r="E75" s="639"/>
      <c r="F75" s="639"/>
      <c r="G75" s="272"/>
      <c r="H75" s="640" t="s">
        <v>398</v>
      </c>
      <c r="I75" s="641"/>
      <c r="J75" s="641"/>
      <c r="K75" s="641"/>
      <c r="L75" s="641"/>
    </row>
    <row r="76" spans="1:12" x14ac:dyDescent="0.3">
      <c r="A76" s="650" t="s">
        <v>440</v>
      </c>
      <c r="B76" s="651"/>
      <c r="C76" s="651"/>
      <c r="D76" s="651"/>
      <c r="E76" s="651"/>
      <c r="F76" s="651"/>
      <c r="G76" s="280"/>
      <c r="H76" s="654" t="s">
        <v>441</v>
      </c>
      <c r="I76" s="622"/>
      <c r="J76" s="622"/>
      <c r="K76" s="622"/>
      <c r="L76" s="623"/>
    </row>
    <row r="77" spans="1:12" ht="101.25" customHeight="1" thickBot="1" x14ac:dyDescent="0.35">
      <c r="A77" s="652"/>
      <c r="B77" s="653"/>
      <c r="C77" s="653"/>
      <c r="D77" s="653"/>
      <c r="E77" s="653"/>
      <c r="F77" s="653"/>
      <c r="G77" s="13"/>
      <c r="H77" s="655"/>
      <c r="I77" s="656"/>
      <c r="J77" s="656"/>
      <c r="K77" s="656"/>
      <c r="L77" s="657"/>
    </row>
    <row r="78" spans="1:12" ht="17.25" thickBot="1" x14ac:dyDescent="0.35">
      <c r="A78" s="630" t="s">
        <v>399</v>
      </c>
      <c r="B78" s="631"/>
      <c r="C78" s="631"/>
      <c r="D78" s="632"/>
      <c r="E78" s="685" t="s">
        <v>400</v>
      </c>
      <c r="F78" s="686"/>
      <c r="G78" s="276"/>
      <c r="H78" s="630" t="s">
        <v>172</v>
      </c>
      <c r="I78" s="698"/>
      <c r="J78" s="698"/>
      <c r="K78" s="698"/>
      <c r="L78" s="698"/>
    </row>
    <row r="79" spans="1:12" x14ac:dyDescent="0.3">
      <c r="A79" s="621" t="s">
        <v>442</v>
      </c>
      <c r="B79" s="622"/>
      <c r="C79" s="622"/>
      <c r="D79" s="623"/>
      <c r="E79" s="677" t="s">
        <v>443</v>
      </c>
      <c r="F79" s="678"/>
      <c r="G79" s="273"/>
      <c r="H79" s="51"/>
      <c r="I79" s="699" t="s">
        <v>444</v>
      </c>
      <c r="J79" s="700"/>
      <c r="K79" s="306">
        <v>2497.1999999999998</v>
      </c>
      <c r="L79" s="73" t="s">
        <v>445</v>
      </c>
    </row>
    <row r="80" spans="1:12" ht="18" x14ac:dyDescent="0.3">
      <c r="A80" s="624"/>
      <c r="B80" s="625"/>
      <c r="C80" s="625"/>
      <c r="D80" s="626"/>
      <c r="E80" s="624"/>
      <c r="F80" s="626"/>
      <c r="G80" s="273"/>
      <c r="H80" s="55"/>
      <c r="I80" s="687" t="s">
        <v>446</v>
      </c>
      <c r="J80" s="702" t="s">
        <v>447</v>
      </c>
      <c r="K80" s="74">
        <v>4.0000000000000001E-3</v>
      </c>
      <c r="L80" s="75" t="s">
        <v>448</v>
      </c>
    </row>
    <row r="81" spans="1:12" ht="18" x14ac:dyDescent="0.3">
      <c r="A81" s="624"/>
      <c r="B81" s="625"/>
      <c r="C81" s="625"/>
      <c r="D81" s="626"/>
      <c r="E81" s="624"/>
      <c r="F81" s="626"/>
      <c r="G81" s="273"/>
      <c r="H81" s="55"/>
      <c r="I81" s="701"/>
      <c r="J81" s="703"/>
      <c r="K81" s="74">
        <f>0.24*(1/1000)</f>
        <v>2.4000000000000001E-4</v>
      </c>
      <c r="L81" s="75" t="s">
        <v>449</v>
      </c>
    </row>
    <row r="82" spans="1:12" ht="54.75" customHeight="1" thickBot="1" x14ac:dyDescent="0.35">
      <c r="A82" s="624"/>
      <c r="B82" s="625"/>
      <c r="C82" s="625"/>
      <c r="D82" s="626"/>
      <c r="E82" s="624"/>
      <c r="F82" s="626"/>
      <c r="G82" s="273"/>
      <c r="H82" s="55"/>
      <c r="I82" s="688"/>
      <c r="J82" s="76" t="s">
        <v>450</v>
      </c>
      <c r="K82" s="74">
        <v>5.1900000000000002E-2</v>
      </c>
      <c r="L82" s="75" t="s">
        <v>448</v>
      </c>
    </row>
    <row r="83" spans="1:12" ht="18.75" thickBot="1" x14ac:dyDescent="0.35">
      <c r="A83" s="630" t="s">
        <v>402</v>
      </c>
      <c r="B83" s="631"/>
      <c r="C83" s="631"/>
      <c r="D83" s="632"/>
      <c r="E83" s="685" t="s">
        <v>421</v>
      </c>
      <c r="F83" s="686"/>
      <c r="G83" s="276"/>
      <c r="H83" s="55"/>
      <c r="I83" s="687" t="s">
        <v>451</v>
      </c>
      <c r="J83" s="76" t="s">
        <v>452</v>
      </c>
      <c r="K83" s="77">
        <f>(K79*K80*21)+(K79*K81*310)</f>
        <v>395.55647999999997</v>
      </c>
      <c r="L83" s="689" t="s">
        <v>453</v>
      </c>
    </row>
    <row r="84" spans="1:12" ht="17.25" thickBot="1" x14ac:dyDescent="0.35">
      <c r="A84" s="612">
        <v>2021</v>
      </c>
      <c r="B84" s="613"/>
      <c r="C84" s="613"/>
      <c r="D84" s="614"/>
      <c r="E84" s="692">
        <f>K86</f>
        <v>2.3261418000000003</v>
      </c>
      <c r="F84" s="693"/>
      <c r="G84" s="286"/>
      <c r="H84" s="55"/>
      <c r="I84" s="688"/>
      <c r="J84" s="76" t="s">
        <v>450</v>
      </c>
      <c r="K84" s="77">
        <f>K79*K82*21</f>
        <v>2721.6982800000001</v>
      </c>
      <c r="L84" s="690"/>
    </row>
    <row r="85" spans="1:12" ht="17.25" thickBot="1" x14ac:dyDescent="0.35">
      <c r="A85" s="618" t="s">
        <v>404</v>
      </c>
      <c r="B85" s="619"/>
      <c r="C85" s="619"/>
      <c r="D85" s="619"/>
      <c r="E85" s="619"/>
      <c r="F85" s="620"/>
      <c r="G85" s="278"/>
      <c r="H85" s="55"/>
      <c r="I85" s="694" t="s">
        <v>208</v>
      </c>
      <c r="J85" s="695"/>
      <c r="K85" s="78">
        <f>K84-K83</f>
        <v>2326.1418000000003</v>
      </c>
      <c r="L85" s="691"/>
    </row>
    <row r="86" spans="1:12" ht="33.75" thickBot="1" x14ac:dyDescent="0.35">
      <c r="A86" s="65" t="s">
        <v>454</v>
      </c>
      <c r="B86" s="66">
        <v>2021</v>
      </c>
      <c r="C86" s="66">
        <v>2022</v>
      </c>
      <c r="D86" s="66">
        <v>2023</v>
      </c>
      <c r="E86" s="66"/>
      <c r="F86" s="67"/>
      <c r="G86" s="286"/>
      <c r="H86" s="55"/>
      <c r="I86" s="696"/>
      <c r="J86" s="697"/>
      <c r="K86" s="307">
        <f>K85/1000</f>
        <v>2.3261418000000003</v>
      </c>
      <c r="L86" s="62" t="s">
        <v>415</v>
      </c>
    </row>
    <row r="87" spans="1:12" ht="17.25" thickBot="1" x14ac:dyDescent="0.35">
      <c r="A87" s="68" t="s">
        <v>445</v>
      </c>
      <c r="B87" s="69">
        <v>2076</v>
      </c>
      <c r="C87" s="69">
        <v>723</v>
      </c>
      <c r="D87" s="69">
        <f>K79</f>
        <v>2497.1999999999998</v>
      </c>
      <c r="E87" s="69"/>
      <c r="F87" s="79"/>
      <c r="G87" s="288"/>
      <c r="H87" s="80"/>
      <c r="I87" s="81"/>
      <c r="J87" s="81"/>
      <c r="K87" s="81"/>
      <c r="L87" s="82"/>
    </row>
    <row r="89" spans="1:12" ht="17.25" thickBot="1" x14ac:dyDescent="0.35"/>
    <row r="90" spans="1:12" ht="17.25" thickBot="1" x14ac:dyDescent="0.35">
      <c r="A90" s="636" t="s">
        <v>455</v>
      </c>
      <c r="B90" s="637"/>
      <c r="C90" s="637"/>
      <c r="D90" s="637"/>
      <c r="E90" s="637"/>
      <c r="F90" s="637"/>
      <c r="G90" s="637"/>
      <c r="H90" s="637"/>
      <c r="I90" s="637"/>
      <c r="J90" s="637"/>
      <c r="K90" s="637"/>
      <c r="L90" s="637"/>
    </row>
    <row r="91" spans="1:12" x14ac:dyDescent="0.3">
      <c r="C91" s="1" t="str">
        <f>E45</f>
        <v>t CO2e reducidas en el periodo</v>
      </c>
    </row>
    <row r="92" spans="1:12" x14ac:dyDescent="0.3">
      <c r="A92" s="1" t="str">
        <f>A19</f>
        <v>Proyecto: Adquisición de carro de golf para actividades de traslado del DAM</v>
      </c>
      <c r="C92" s="83">
        <f>E30</f>
        <v>0.32519373653597367</v>
      </c>
    </row>
    <row r="93" spans="1:12" x14ac:dyDescent="0.3">
      <c r="A93" s="1" t="str">
        <f>A35</f>
        <v>Proyecto: Priorización de bicicletas eléctricas en vez de motos para hacer recorridos.</v>
      </c>
      <c r="C93" s="84">
        <f>E46</f>
        <v>0.20043927970241815</v>
      </c>
    </row>
    <row r="94" spans="1:12" x14ac:dyDescent="0.3">
      <c r="A94" s="1" t="s">
        <v>456</v>
      </c>
      <c r="C94" s="83">
        <f>E62</f>
        <v>3.2359182479999999</v>
      </c>
    </row>
    <row r="95" spans="1:12" x14ac:dyDescent="0.3">
      <c r="A95" s="1" t="s">
        <v>457</v>
      </c>
      <c r="C95" s="84">
        <f>E84</f>
        <v>2.3261418000000003</v>
      </c>
    </row>
    <row r="96" spans="1:12" x14ac:dyDescent="0.3">
      <c r="A96" s="1" t="s">
        <v>458</v>
      </c>
      <c r="C96" s="84">
        <f>[1]Combustible!G135</f>
        <v>1.7073619999999998</v>
      </c>
    </row>
    <row r="97" spans="1:12" ht="16.149999999999999" customHeight="1" x14ac:dyDescent="0.3">
      <c r="A97" s="679" t="s">
        <v>459</v>
      </c>
      <c r="B97" s="679"/>
      <c r="C97" s="308">
        <f>SUM(C92:C96)</f>
        <v>7.795055064238392</v>
      </c>
    </row>
    <row r="98" spans="1:12" ht="17.25" thickBot="1" x14ac:dyDescent="0.35"/>
    <row r="99" spans="1:12" ht="17.25" thickBot="1" x14ac:dyDescent="0.35">
      <c r="A99" s="636" t="s">
        <v>215</v>
      </c>
      <c r="B99" s="637"/>
      <c r="C99" s="637"/>
      <c r="D99" s="637"/>
      <c r="E99" s="637"/>
      <c r="F99" s="637"/>
      <c r="G99" s="637"/>
      <c r="H99" s="637"/>
      <c r="I99" s="637"/>
      <c r="J99" s="637"/>
      <c r="K99" s="637"/>
      <c r="L99" s="637"/>
    </row>
    <row r="100" spans="1:12" s="275" customFormat="1" x14ac:dyDescent="0.3">
      <c r="A100" s="680" t="s">
        <v>460</v>
      </c>
      <c r="B100" s="680"/>
      <c r="C100" s="309" t="s">
        <v>461</v>
      </c>
      <c r="D100" s="310"/>
      <c r="E100" s="310"/>
      <c r="F100" s="310"/>
      <c r="G100" s="310"/>
      <c r="H100" s="310"/>
      <c r="I100" s="310"/>
      <c r="J100" s="310"/>
      <c r="K100" s="310"/>
      <c r="L100" s="310"/>
    </row>
    <row r="101" spans="1:12" x14ac:dyDescent="0.3">
      <c r="A101" s="1" t="s">
        <v>220</v>
      </c>
      <c r="B101" s="313">
        <v>6744</v>
      </c>
      <c r="C101" s="1">
        <f>$C$97/B101</f>
        <v>1.1558503950531423E-3</v>
      </c>
    </row>
    <row r="102" spans="1:12" x14ac:dyDescent="0.3">
      <c r="A102" s="1" t="s">
        <v>221</v>
      </c>
      <c r="B102" s="1">
        <v>1322</v>
      </c>
      <c r="C102" s="1">
        <f>$C$97/B102</f>
        <v>5.8964107898928832E-3</v>
      </c>
    </row>
    <row r="103" spans="1:12" x14ac:dyDescent="0.3">
      <c r="A103" s="1" t="s">
        <v>0</v>
      </c>
      <c r="B103" s="1">
        <f>B101+B102</f>
        <v>8066</v>
      </c>
      <c r="C103" s="1">
        <f>$C$97/B103</f>
        <v>9.664090087079584E-4</v>
      </c>
    </row>
  </sheetData>
  <mergeCells count="106">
    <mergeCell ref="A19:L19"/>
    <mergeCell ref="A21:F21"/>
    <mergeCell ref="H21:L21"/>
    <mergeCell ref="A22:G23"/>
    <mergeCell ref="H22:L23"/>
    <mergeCell ref="A24:D24"/>
    <mergeCell ref="E24:G24"/>
    <mergeCell ref="H24:L24"/>
    <mergeCell ref="A31:F31"/>
    <mergeCell ref="A35:L35"/>
    <mergeCell ref="A37:F37"/>
    <mergeCell ref="H37:L37"/>
    <mergeCell ref="A38:F39"/>
    <mergeCell ref="H38:L39"/>
    <mergeCell ref="A25:D28"/>
    <mergeCell ref="E25:G28"/>
    <mergeCell ref="I28:I29"/>
    <mergeCell ref="A29:D29"/>
    <mergeCell ref="E29:G29"/>
    <mergeCell ref="A30:D30"/>
    <mergeCell ref="E30:G30"/>
    <mergeCell ref="A45:D45"/>
    <mergeCell ref="E45:F45"/>
    <mergeCell ref="A46:D46"/>
    <mergeCell ref="E46:F46"/>
    <mergeCell ref="H46:L46"/>
    <mergeCell ref="A47:F47"/>
    <mergeCell ref="A40:D40"/>
    <mergeCell ref="E40:F40"/>
    <mergeCell ref="H40:L40"/>
    <mergeCell ref="A41:D44"/>
    <mergeCell ref="E41:F44"/>
    <mergeCell ref="H41:L41"/>
    <mergeCell ref="H43:L43"/>
    <mergeCell ref="I57:L57"/>
    <mergeCell ref="I59:I62"/>
    <mergeCell ref="A61:D61"/>
    <mergeCell ref="E61:F61"/>
    <mergeCell ref="A62:D62"/>
    <mergeCell ref="E62:F62"/>
    <mergeCell ref="A51:L51"/>
    <mergeCell ref="A53:F53"/>
    <mergeCell ref="H53:L53"/>
    <mergeCell ref="A54:F55"/>
    <mergeCell ref="H54:L55"/>
    <mergeCell ref="A56:D56"/>
    <mergeCell ref="E56:F56"/>
    <mergeCell ref="I56:L56"/>
    <mergeCell ref="A97:B97"/>
    <mergeCell ref="A99:L99"/>
    <mergeCell ref="A100:B100"/>
    <mergeCell ref="J28:J29"/>
    <mergeCell ref="K28:K29"/>
    <mergeCell ref="A83:D83"/>
    <mergeCell ref="E83:F83"/>
    <mergeCell ref="I83:I84"/>
    <mergeCell ref="L83:L85"/>
    <mergeCell ref="A84:D84"/>
    <mergeCell ref="E84:F84"/>
    <mergeCell ref="A85:F85"/>
    <mergeCell ref="I85:J86"/>
    <mergeCell ref="A78:D78"/>
    <mergeCell ref="E78:F78"/>
    <mergeCell ref="H78:L78"/>
    <mergeCell ref="A79:D82"/>
    <mergeCell ref="E79:F82"/>
    <mergeCell ref="I79:J79"/>
    <mergeCell ref="I80:I82"/>
    <mergeCell ref="J80:J81"/>
    <mergeCell ref="I65:K65"/>
    <mergeCell ref="A73:L73"/>
    <mergeCell ref="A75:F75"/>
    <mergeCell ref="A2:L2"/>
    <mergeCell ref="A4:F4"/>
    <mergeCell ref="H4:L4"/>
    <mergeCell ref="A5:G6"/>
    <mergeCell ref="H5:L6"/>
    <mergeCell ref="A7:D7"/>
    <mergeCell ref="E7:G7"/>
    <mergeCell ref="H7:L7"/>
    <mergeCell ref="A90:L90"/>
    <mergeCell ref="H75:L75"/>
    <mergeCell ref="A76:F77"/>
    <mergeCell ref="H76:L77"/>
    <mergeCell ref="A63:F63"/>
    <mergeCell ref="I63:K63"/>
    <mergeCell ref="A64:A70"/>
    <mergeCell ref="G64:G70"/>
    <mergeCell ref="I64:K64"/>
    <mergeCell ref="B65:B70"/>
    <mergeCell ref="C65:C70"/>
    <mergeCell ref="D65:D70"/>
    <mergeCell ref="E65:E70"/>
    <mergeCell ref="F65:F70"/>
    <mergeCell ref="A57:D60"/>
    <mergeCell ref="E57:F60"/>
    <mergeCell ref="A13:D13"/>
    <mergeCell ref="E13:G13"/>
    <mergeCell ref="A14:F14"/>
    <mergeCell ref="I9:L9"/>
    <mergeCell ref="I12:L12"/>
    <mergeCell ref="I13:L14"/>
    <mergeCell ref="A8:D11"/>
    <mergeCell ref="E8:G11"/>
    <mergeCell ref="A12:D12"/>
    <mergeCell ref="E12:G12"/>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9" ma:contentTypeDescription="Crear nuevo documento." ma:contentTypeScope="" ma:versionID="b7301022433bb7bfc1e561ffd1c2f09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596177f9451feb212c6c9df4bfd08695"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ltima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ltimaversion" ma:index="26" nillable="true" ma:displayName="Ultima version" ma:default="1" ma:format="Dropdown" ma:internalName="Ultimavers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ltimaversion xmlns="e8e21bb5-6507-4709-96df-60698ada359b">true</Ultimaversion>
    <lcf76f155ced4ddcb4097134ff3c332f xmlns="e8e21bb5-6507-4709-96df-60698ada359b">
      <Terms xmlns="http://schemas.microsoft.com/office/infopath/2007/PartnerControls"/>
    </lcf76f155ced4ddcb4097134ff3c332f>
    <TaxCatchAll xmlns="8c1a0845-d76f-45df-a68f-a31234277092" xsi:nil="true"/>
  </documentManagement>
</p:properties>
</file>

<file path=customXml/itemProps1.xml><?xml version="1.0" encoding="utf-8"?>
<ds:datastoreItem xmlns:ds="http://schemas.openxmlformats.org/officeDocument/2006/customXml" ds:itemID="{38FF80F8-77BB-4605-AB58-AFAEFCB0053F}"/>
</file>

<file path=customXml/itemProps2.xml><?xml version="1.0" encoding="utf-8"?>
<ds:datastoreItem xmlns:ds="http://schemas.openxmlformats.org/officeDocument/2006/customXml" ds:itemID="{92274760-1083-4B17-A7DE-17E335E4AFBE}">
  <ds:schemaRefs>
    <ds:schemaRef ds:uri="http://schemas.microsoft.com/sharepoint/v3/contenttype/forms"/>
  </ds:schemaRefs>
</ds:datastoreItem>
</file>

<file path=customXml/itemProps3.xml><?xml version="1.0" encoding="utf-8"?>
<ds:datastoreItem xmlns:ds="http://schemas.openxmlformats.org/officeDocument/2006/customXml" ds:itemID="{6E800E41-1DC4-4B09-87DE-2267264582D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Hojas de cálculo</vt:lpstr>
      </vt:variant>
      <vt:variant>
        <vt:i4>7</vt:i4>
      </vt:variant>
    </vt:vector>
  </HeadingPairs>
  <TitlesOfParts>
    <vt:vector size="7" baseType="lpstr">
      <vt:lpstr>Declaración de compromiso</vt:lpstr>
      <vt:lpstr>Plan de gestión de reducciones</vt:lpstr>
      <vt:lpstr>Viajes compartidos</vt:lpstr>
      <vt:lpstr>Cambio de Luminarias</vt:lpstr>
      <vt:lpstr>Carro golf</vt:lpstr>
      <vt:lpstr>Bicicletas</vt:lpstr>
      <vt:lpstr>Documentación de reducciones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RAQUEL</dc:creator>
  <cp:keywords/>
  <dc:description/>
  <cp:lastModifiedBy>Alina Rodriguez Rodriguez</cp:lastModifiedBy>
  <cp:revision/>
  <dcterms:created xsi:type="dcterms:W3CDTF">2017-09-27T07:24:33Z</dcterms:created>
  <dcterms:modified xsi:type="dcterms:W3CDTF">2024-10-17T21:49:45Z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0x010100E65B845B1D01D04B9A39D7891D10DD18</vt:lpwstr>
  </property>
</Properties>
</file>